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1" activeTab="4"/>
  </bookViews>
  <sheets>
    <sheet name="ИТОГ" sheetId="12" state="hidden" r:id="rId1"/>
    <sheet name="Расчет" sheetId="11" r:id="rId2"/>
    <sheet name="systemquery" sheetId="13" state="hidden" r:id="rId3"/>
    <sheet name="Реквизиты документа" sheetId="14" state="hidden" r:id="rId4"/>
    <sheet name="Лист1" sheetId="15" r:id="rId5"/>
  </sheets>
  <definedNames>
    <definedName name="_xlnm.Print_Titles" localSheetId="4">Лист1!$A:$A</definedName>
  </definedNames>
  <calcPr calcId="125725"/>
</workbook>
</file>

<file path=xl/calcChain.xml><?xml version="1.0" encoding="utf-8"?>
<calcChain xmlns="http://schemas.openxmlformats.org/spreadsheetml/2006/main">
  <c r="AM14" i="15"/>
  <c r="AK14"/>
  <c r="AJ14"/>
  <c r="AA14"/>
  <c r="Y14"/>
  <c r="X14"/>
  <c r="M14"/>
  <c r="O14" s="1"/>
  <c r="L14"/>
  <c r="AJ13"/>
  <c r="AK13" s="1"/>
  <c r="X13"/>
  <c r="Y13" s="1"/>
  <c r="O13"/>
  <c r="M13"/>
  <c r="L13"/>
  <c r="AJ12"/>
  <c r="AK12" s="1"/>
  <c r="X12"/>
  <c r="Y12" s="1"/>
  <c r="O12"/>
  <c r="M12"/>
  <c r="L12"/>
  <c r="AJ11"/>
  <c r="AK11" s="1"/>
  <c r="AM11" s="1"/>
  <c r="X11"/>
  <c r="Y11" s="1"/>
  <c r="L11"/>
  <c r="M11" s="1"/>
  <c r="AK10"/>
  <c r="AK9" s="1"/>
  <c r="AJ10"/>
  <c r="AM10" s="1"/>
  <c r="X10"/>
  <c r="Y10" s="1"/>
  <c r="L10"/>
  <c r="M10" s="1"/>
  <c r="AL9"/>
  <c r="AI9"/>
  <c r="AH9"/>
  <c r="AG9"/>
  <c r="AF9"/>
  <c r="AE9"/>
  <c r="AD9"/>
  <c r="AC9"/>
  <c r="AB9"/>
  <c r="Z9"/>
  <c r="W9"/>
  <c r="V9"/>
  <c r="U9"/>
  <c r="T9"/>
  <c r="S9"/>
  <c r="R9"/>
  <c r="Q9"/>
  <c r="P9"/>
  <c r="N9"/>
  <c r="L9"/>
  <c r="K9"/>
  <c r="J9"/>
  <c r="I9"/>
  <c r="H9"/>
  <c r="G9"/>
  <c r="F9"/>
  <c r="E9"/>
  <c r="D9"/>
  <c r="C9"/>
  <c r="B9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8"/>
  <c r="AB6"/>
  <c r="P6"/>
  <c r="D6"/>
  <c r="C6"/>
  <c r="B6"/>
  <c r="X9" l="1"/>
  <c r="M9"/>
  <c r="AJ9"/>
  <c r="AA13"/>
  <c r="Y9"/>
  <c r="AA10"/>
  <c r="O10"/>
  <c r="O9" s="1"/>
  <c r="AA11"/>
  <c r="AM12"/>
  <c r="O11"/>
  <c r="AA12"/>
  <c r="AM13"/>
  <c r="AM9" s="1"/>
  <c r="AJ15" i="11"/>
  <c r="AJ14"/>
  <c r="AK14" s="1"/>
  <c r="AJ13"/>
  <c r="AJ12"/>
  <c r="AK12" s="1"/>
  <c r="AJ11"/>
  <c r="AK11" s="1"/>
  <c r="AL10"/>
  <c r="AI10"/>
  <c r="AH10"/>
  <c r="AG10"/>
  <c r="AF10"/>
  <c r="AE10"/>
  <c r="AD10"/>
  <c r="AC10"/>
  <c r="AB10"/>
  <c r="AM9"/>
  <c r="AL9"/>
  <c r="AK9"/>
  <c r="AJ9"/>
  <c r="AI9"/>
  <c r="AH9"/>
  <c r="AG9"/>
  <c r="AF9"/>
  <c r="AE9"/>
  <c r="AD9"/>
  <c r="AC9"/>
  <c r="AB9"/>
  <c r="X15"/>
  <c r="X14"/>
  <c r="Y14"/>
  <c r="AA14" s="1"/>
  <c r="X13"/>
  <c r="X12"/>
  <c r="X11"/>
  <c r="Z10"/>
  <c r="W10"/>
  <c r="V10"/>
  <c r="U10"/>
  <c r="T10"/>
  <c r="S10"/>
  <c r="R10"/>
  <c r="Q10"/>
  <c r="P10"/>
  <c r="AA9"/>
  <c r="Z9"/>
  <c r="Y9"/>
  <c r="X9"/>
  <c r="W9"/>
  <c r="V9"/>
  <c r="U9"/>
  <c r="T9"/>
  <c r="S9"/>
  <c r="R9"/>
  <c r="Q9"/>
  <c r="P9"/>
  <c r="N10"/>
  <c r="O9"/>
  <c r="M9"/>
  <c r="N9"/>
  <c r="L9"/>
  <c r="B9"/>
  <c r="C9"/>
  <c r="D9"/>
  <c r="E9"/>
  <c r="F9"/>
  <c r="G9"/>
  <c r="H9"/>
  <c r="I9"/>
  <c r="J9"/>
  <c r="K9"/>
  <c r="A9"/>
  <c r="AA9" i="15" l="1"/>
  <c r="AM15" i="11"/>
  <c r="AK15"/>
  <c r="AM11"/>
  <c r="Y13"/>
  <c r="AA13" s="1"/>
  <c r="AM12"/>
  <c r="AK13"/>
  <c r="AM13" s="1"/>
  <c r="AM14"/>
  <c r="AJ10"/>
  <c r="X10"/>
  <c r="Y12"/>
  <c r="AA12"/>
  <c r="Y11"/>
  <c r="Y15"/>
  <c r="AA15" s="1"/>
  <c r="A3"/>
  <c r="A2"/>
  <c r="Y10" l="1"/>
  <c r="AK10"/>
  <c r="AM10"/>
  <c r="AA11"/>
  <c r="AA10" s="1"/>
  <c r="A6" i="12"/>
  <c r="A5"/>
  <c r="A4"/>
  <c r="A3"/>
  <c r="A2"/>
  <c r="AB7" i="11"/>
  <c r="P7"/>
  <c r="D7"/>
  <c r="C7"/>
  <c r="B7"/>
  <c r="A1"/>
  <c r="L12" l="1"/>
  <c r="M12" s="1"/>
  <c r="L13"/>
  <c r="M13" s="1"/>
  <c r="L14"/>
  <c r="M14" s="1"/>
  <c r="L15"/>
  <c r="M15" s="1"/>
  <c r="L11"/>
  <c r="D10"/>
  <c r="E10"/>
  <c r="F10"/>
  <c r="G10"/>
  <c r="H10"/>
  <c r="I10"/>
  <c r="J10"/>
  <c r="K10"/>
  <c r="O14" l="1"/>
  <c r="O15"/>
  <c r="O13"/>
  <c r="O12"/>
  <c r="M11"/>
  <c r="O11" s="1"/>
  <c r="L10"/>
  <c r="M10" l="1"/>
  <c r="C10"/>
  <c r="B10"/>
  <c r="O10" l="1"/>
  <c r="B3" i="12"/>
  <c r="B2"/>
  <c r="B5" l="1"/>
  <c r="B4"/>
  <c r="B6" l="1"/>
</calcChain>
</file>

<file path=xl/sharedStrings.xml><?xml version="1.0" encoding="utf-8"?>
<sst xmlns="http://schemas.openxmlformats.org/spreadsheetml/2006/main" count="111" uniqueCount="41">
  <si>
    <t>Период</t>
  </si>
  <si>
    <t>ИТОГО, руб.</t>
  </si>
  <si>
    <t>Обоснование бюджетных ассигнований на исполнение действующих расходных обязательств на предоставление субвенции для предоставления компенсации расходов на оплату жилых помещений и коммунальных услуг за счет средств субвенций из  федерального бюджета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</si>
  <si>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</si>
  <si>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</si>
  <si>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</si>
  <si>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</si>
  <si>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Численность получателей мер соцподдержки по оплате ЖКУ за счет средств федерального бюджета</t>
  </si>
  <si>
    <t>Стоимость жилищно-коммунальных услуг в расчете на 1 м2 площади жилья за отчетный год по Курской области</t>
  </si>
  <si>
    <t>Коэффициент корректировки стоимости жилищно-коммунальных услуг с учетом благоустройства жилых помещений в Курской области</t>
  </si>
  <si>
    <t xml:space="preserve">Коэффициент корректировки стоимости жилищно-коммунальных услуг с учетом уровня возмещения населением затрат за предоставление жилищно-коммунальных услуг в Курской области </t>
  </si>
  <si>
    <t>Численность лиц из категории инвалидов III группы из числа граждан, пострадавших от радиационных катастроф, а также отдельных категорий граждан из числа ветеранов  и инвалидов, которым меры соцподдержки предоставляются за счет средств федерального бюджета</t>
  </si>
  <si>
    <t>Размер взноса на капитальный ремонт общего имущества в многоквартирном доме на 1 м2 общей площади жилья в месяц по Курской области</t>
  </si>
  <si>
    <t>Коэффициент корректировки минимального размера взноса на капитальный ремонт общего имущества в многоквартирном доме на 1 кв. м. площади жилья в месяц, с учетом доли общей площади жилых помещений, находящихся в частной собственности граждан в Курской области в общей площади жилых помещений</t>
  </si>
  <si>
    <t>Федеральный стандарт социальной нормы площади жилого помещения (18 м2)</t>
  </si>
  <si>
    <t>Потребность в средствах на выплату компенсации расходов на оплату жилых помещений и ЖКУ</t>
  </si>
  <si>
    <t>Расходы на доставку выплат</t>
  </si>
  <si>
    <t>Корректировка</t>
  </si>
  <si>
    <t>г.Железногорск</t>
  </si>
  <si>
    <t>г.Курск</t>
  </si>
  <si>
    <t>г.Курчатов</t>
  </si>
  <si>
    <t>г.Льгов</t>
  </si>
  <si>
    <t>г.Щигры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</si>
  <si>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</si>
  <si>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</si>
  <si>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</si>
  <si>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</si>
  <si>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</si>
  <si>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</si>
  <si>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</si>
  <si>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</si>
  <si>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</si>
  <si>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</si>
  <si>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</si>
  <si>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</si>
  <si>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</si>
  <si>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</si>
  <si>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</si>
  <si>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</si>
  <si>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Субвенции для предоставления компенсации расходов на оплату жилых помещений и коммунальных услуг за счет средств субвенций из федерального бюджета</t>
  </si>
  <si>
    <t>Приложение № 1.11.8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</si>
</sst>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2">
    <xf numFmtId="0" fontId="0" fillId="0" borderId="0"/>
    <xf numFmtId="0" fontId="9" fillId="0" borderId="7"/>
  </cellStyleXfs>
  <cellXfs count="4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5" fillId="6" borderId="2" xfId="0" applyNumberFormat="1" applyFont="1" applyFill="1" applyBorder="1"/>
    <xf numFmtId="0" fontId="2" fillId="7" borderId="0" xfId="0" applyFont="1" applyFill="1" applyProtection="1"/>
    <xf numFmtId="4" fontId="2" fillId="0" borderId="7" xfId="1" applyNumberFormat="1" applyFont="1" applyBorder="1" applyAlignment="1" applyProtection="1">
      <alignment vertical="top" wrapText="1"/>
      <protection locked="0"/>
    </xf>
    <xf numFmtId="4" fontId="2" fillId="0" borderId="7" xfId="1" applyNumberFormat="1" applyFont="1" applyProtection="1">
      <protection locked="0"/>
    </xf>
    <xf numFmtId="4" fontId="2" fillId="7" borderId="0" xfId="0" applyNumberFormat="1" applyFont="1" applyFill="1" applyBorder="1" applyAlignment="1" applyProtection="1">
      <alignment vertical="top" wrapText="1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0" fontId="7" fillId="8" borderId="8" xfId="0" applyFont="1" applyFill="1" applyBorder="1"/>
    <xf numFmtId="0" fontId="8" fillId="0" borderId="9" xfId="0" applyFont="1" applyBorder="1"/>
    <xf numFmtId="0" fontId="5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/>
    <xf numFmtId="4" fontId="2" fillId="0" borderId="0" xfId="0" applyNumberFormat="1" applyFont="1" applyFill="1"/>
    <xf numFmtId="0" fontId="2" fillId="0" borderId="2" xfId="0" applyFont="1" applyFill="1" applyBorder="1" applyProtection="1"/>
    <xf numFmtId="4" fontId="2" fillId="0" borderId="2" xfId="1" applyNumberFormat="1" applyFont="1" applyFill="1" applyBorder="1" applyAlignment="1" applyProtection="1">
      <alignment vertical="top" wrapText="1"/>
      <protection locked="0"/>
    </xf>
    <xf numFmtId="4" fontId="2" fillId="0" borderId="2" xfId="1" applyNumberFormat="1" applyFont="1" applyFill="1" applyBorder="1" applyProtection="1">
      <protection locked="0"/>
    </xf>
    <xf numFmtId="4" fontId="2" fillId="0" borderId="2" xfId="0" applyNumberFormat="1" applyFont="1" applyFill="1" applyBorder="1" applyAlignment="1" applyProtection="1">
      <alignment vertical="top" wrapText="1"/>
    </xf>
    <xf numFmtId="4" fontId="2" fillId="0" borderId="2" xfId="0" applyNumberFormat="1" applyFont="1" applyFill="1" applyBorder="1" applyProtection="1">
      <protection locked="0"/>
    </xf>
    <xf numFmtId="0" fontId="10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"/>
    </sheetView>
  </sheetViews>
  <sheetFormatPr defaultRowHeight="15"/>
  <cols>
    <col min="1" max="1" width="15.28515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>
        <f>SUM(Расчет!B10)</f>
        <v>321702819.47000003</v>
      </c>
    </row>
    <row r="3" spans="1:2">
      <c r="A3" s="3" t="str">
        <f>VALUE(VLOOKUP("Год",'Реквизиты документа'!$A$2:$B$20,2,0)-1)&amp;" год"</f>
        <v>2024 год</v>
      </c>
      <c r="B3" s="4">
        <f>SUM(Расчет!C10)</f>
        <v>367254283</v>
      </c>
    </row>
    <row r="4" spans="1:2">
      <c r="A4" s="3" t="str">
        <f>VALUE(VLOOKUP("Год",'Реквизиты документа'!$A$2:$B$20,2,0)-0)&amp;" год"</f>
        <v>2025 год</v>
      </c>
      <c r="B4" s="4">
        <f>SUM(Расчет!O10)</f>
        <v>387598703</v>
      </c>
    </row>
    <row r="5" spans="1:2">
      <c r="A5" s="3" t="str">
        <f>VALUE(VLOOKUP("Год",'Реквизиты документа'!$A$2:$B$20,2,0)+1)&amp;" год"</f>
        <v>2026 год</v>
      </c>
      <c r="B5" s="4">
        <f>SUM(Расчет!AA10)</f>
        <v>387598703</v>
      </c>
    </row>
    <row r="6" spans="1:2">
      <c r="A6" s="3" t="str">
        <f>VALUE(VLOOKUP("Год",'Реквизиты документа'!$A$2:$B$20,2,0)+2)&amp;" год"</f>
        <v>2027 год</v>
      </c>
      <c r="B6" s="4">
        <f>SUM(Расчет!AM10)</f>
        <v>387598703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M141"/>
  <sheetViews>
    <sheetView zoomScaleNormal="100" workbookViewId="0">
      <selection sqref="A1:XFD1048576"/>
    </sheetView>
  </sheetViews>
  <sheetFormatPr defaultRowHeight="12.75"/>
  <cols>
    <col min="1" max="1" width="33.140625" style="5" customWidth="1"/>
    <col min="2" max="23" width="16.5703125" style="5" customWidth="1"/>
    <col min="24" max="24" width="17.140625" style="5" customWidth="1"/>
    <col min="25" max="35" width="16.5703125" style="5" customWidth="1"/>
    <col min="36" max="36" width="17.140625" style="5" customWidth="1"/>
    <col min="37" max="39" width="16.5703125" style="5" customWidth="1"/>
    <col min="40" max="16384" width="9.140625" style="5"/>
  </cols>
  <sheetData>
    <row r="1" spans="1:39" ht="15.75">
      <c r="A1" s="6" t="str">
        <f>VLOOKUP("Расчет",'Реквизиты документа'!$A$2:$B$20,2,0)</f>
        <v>Обоснование бюджетных ассигнований на исполнение действующих расходных обязательств на предоставление субвенции для предоставления компенсации расходов на оплату жилых помещений и коммунальных услуг за счет средств субвенций из  федерального бюджета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>
      <c r="A2" s="8" t="str">
        <f>VLOOKUP("Корреспондент",'Реквизиты документа'!$A$2:$B$20,2,0)</f>
        <v>МИНИСТЕРСТВО СОЦИАЛЬНОГО ОБЕСПЕЧЕНИЯ, МАТЕРИНСТВА И ДЕТСТВА КУРСКОЙ ОБЛАСТИ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A3" s="8" t="str">
        <f>VLOOKUP("Дата",'Реквизиты документа'!$A$2:$B$20,2,0)</f>
        <v>02.01.2025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>
      <c r="A7" s="35" t="s">
        <v>5</v>
      </c>
      <c r="B7" s="10" t="str">
        <f>"Отчетный "&amp;(VALUE(VLOOKUP("Год",'Реквизиты документа'!$A$2:$B$20,2,0)-2))&amp;" год"</f>
        <v>Отчетный 2023 год</v>
      </c>
      <c r="C7" s="10" t="str">
        <f>"Текущий "&amp;(VALUE(VLOOKUP("Год",'Реквизиты документа'!$A$2:$B$20,2,0)-1))&amp;" год"</f>
        <v>Текущий 2024 год</v>
      </c>
      <c r="D7" s="37" t="str">
        <f>"Очередной "&amp;(VALUE(VLOOKUP("Год",'Реквизиты документа'!$A$2:$B$20,2,0)-0))&amp;" год"</f>
        <v>Очередной 2025 год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7" t="str">
        <f>(VALUE(VLOOKUP("Год",'Реквизиты документа'!$A$2:$B$20,2,0)+1))&amp;" год планового периода"</f>
        <v>2026 год планового периода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  <c r="AB7" s="37" t="str">
        <f>(VALUE(VLOOKUP("Год",'Реквизиты документа'!$A$2:$B$20,2,0)+2))&amp;" год планового периода"</f>
        <v>2027 год планового периода</v>
      </c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9"/>
    </row>
    <row r="8" spans="1:39" ht="267.75">
      <c r="A8" s="36"/>
      <c r="B8" s="11" t="s">
        <v>6</v>
      </c>
      <c r="C8" s="11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17</v>
      </c>
      <c r="O8" s="11" t="s">
        <v>6</v>
      </c>
      <c r="P8" s="12" t="s">
        <v>7</v>
      </c>
      <c r="Q8" s="12" t="s">
        <v>8</v>
      </c>
      <c r="R8" s="12" t="s">
        <v>9</v>
      </c>
      <c r="S8" s="12" t="s">
        <v>10</v>
      </c>
      <c r="T8" s="12" t="s">
        <v>11</v>
      </c>
      <c r="U8" s="12" t="s">
        <v>12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17</v>
      </c>
      <c r="AA8" s="11" t="s">
        <v>6</v>
      </c>
      <c r="AB8" s="12" t="s">
        <v>7</v>
      </c>
      <c r="AC8" s="12" t="s">
        <v>8</v>
      </c>
      <c r="AD8" s="12" t="s">
        <v>9</v>
      </c>
      <c r="AE8" s="12" t="s">
        <v>10</v>
      </c>
      <c r="AF8" s="12" t="s">
        <v>11</v>
      </c>
      <c r="AG8" s="12" t="s">
        <v>12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17</v>
      </c>
      <c r="AM8" s="11" t="s">
        <v>6</v>
      </c>
    </row>
    <row r="9" spans="1:39" ht="37.5" customHeight="1">
      <c r="A9" s="13">
        <f>COLUMN()</f>
        <v>1</v>
      </c>
      <c r="B9" s="13">
        <f>COLUMN()</f>
        <v>2</v>
      </c>
      <c r="C9" s="13">
        <f>COLUMN()</f>
        <v>3</v>
      </c>
      <c r="D9" s="13">
        <f>COLUMN()</f>
        <v>4</v>
      </c>
      <c r="E9" s="13">
        <f>COLUMN()</f>
        <v>5</v>
      </c>
      <c r="F9" s="13">
        <f>COLUMN()</f>
        <v>6</v>
      </c>
      <c r="G9" s="13">
        <f>COLUMN()</f>
        <v>7</v>
      </c>
      <c r="H9" s="13">
        <f>COLUMN()</f>
        <v>8</v>
      </c>
      <c r="I9" s="13">
        <f>COLUMN()</f>
        <v>9</v>
      </c>
      <c r="J9" s="13">
        <f>COLUMN()</f>
        <v>10</v>
      </c>
      <c r="K9" s="13">
        <f>COLUMN()</f>
        <v>11</v>
      </c>
      <c r="L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12=(4*5*6*7+(4-8)*9*10)*11*12мес*0,5</v>
      </c>
      <c r="M9" s="13" t="str">
        <f>COLUMN()&amp;"="&amp;COLUMN()-1&amp;"*1,8%"</f>
        <v>13=12*1,8%</v>
      </c>
      <c r="N9" s="13">
        <f>COLUMN()</f>
        <v>14</v>
      </c>
      <c r="O9" s="13" t="str">
        <f>COLUMN()&amp;"="&amp;COLUMN()-3&amp;"+"&amp;COLUMN()-2&amp;"+"&amp;COLUMN()-1</f>
        <v>15=12+13+14</v>
      </c>
      <c r="P9" s="13">
        <f>COLUMN()</f>
        <v>16</v>
      </c>
      <c r="Q9" s="13">
        <f>COLUMN()</f>
        <v>17</v>
      </c>
      <c r="R9" s="13">
        <f>COLUMN()</f>
        <v>18</v>
      </c>
      <c r="S9" s="13">
        <f>COLUMN()</f>
        <v>19</v>
      </c>
      <c r="T9" s="13">
        <f>COLUMN()</f>
        <v>20</v>
      </c>
      <c r="U9" s="13">
        <f>COLUMN()</f>
        <v>21</v>
      </c>
      <c r="V9" s="13">
        <f>COLUMN()</f>
        <v>22</v>
      </c>
      <c r="W9" s="13">
        <f>COLUMN()</f>
        <v>23</v>
      </c>
      <c r="X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24=(16*17*18*19+(16-20)*21*22)*23*12мес*0,5</v>
      </c>
      <c r="Y9" s="13" t="str">
        <f>COLUMN()&amp;"="&amp;COLUMN()-1&amp;"*1,8%"</f>
        <v>25=24*1,8%</v>
      </c>
      <c r="Z9" s="13">
        <f>COLUMN()</f>
        <v>26</v>
      </c>
      <c r="AA9" s="13" t="str">
        <f>COLUMN()&amp;"="&amp;COLUMN()-3&amp;"+"&amp;COLUMN()-2&amp;"+"&amp;COLUMN()-1</f>
        <v>27=24+25+26</v>
      </c>
      <c r="AB9" s="13">
        <f>COLUMN()</f>
        <v>28</v>
      </c>
      <c r="AC9" s="13">
        <f>COLUMN()</f>
        <v>29</v>
      </c>
      <c r="AD9" s="13">
        <f>COLUMN()</f>
        <v>30</v>
      </c>
      <c r="AE9" s="13">
        <f>COLUMN()</f>
        <v>31</v>
      </c>
      <c r="AF9" s="13">
        <f>COLUMN()</f>
        <v>32</v>
      </c>
      <c r="AG9" s="13">
        <f>COLUMN()</f>
        <v>33</v>
      </c>
      <c r="AH9" s="13">
        <f>COLUMN()</f>
        <v>34</v>
      </c>
      <c r="AI9" s="13">
        <f>COLUMN()</f>
        <v>35</v>
      </c>
      <c r="AJ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36=(28*29*30*31+(28-32)*33*34)*35*12мес*0,5</v>
      </c>
      <c r="AK9" s="13" t="str">
        <f>COLUMN()&amp;"="&amp;COLUMN()-1&amp;"*1,8%"</f>
        <v>37=36*1,8%</v>
      </c>
      <c r="AL9" s="13">
        <f>COLUMN()</f>
        <v>38</v>
      </c>
      <c r="AM9" s="13" t="str">
        <f>COLUMN()&amp;"="&amp;COLUMN()-3&amp;"+"&amp;COLUMN()-2&amp;"+"&amp;COLUMN()-1</f>
        <v>39=36+37+38</v>
      </c>
    </row>
    <row r="10" spans="1:39">
      <c r="A10" s="14"/>
      <c r="B10" s="14">
        <f t="shared" ref="B10:O10" si="0">SUM(B11:B971)</f>
        <v>321702819.47000003</v>
      </c>
      <c r="C10" s="14">
        <f t="shared" si="0"/>
        <v>367254283</v>
      </c>
      <c r="D10" s="14">
        <f t="shared" si="0"/>
        <v>10368</v>
      </c>
      <c r="E10" s="14">
        <f t="shared" si="0"/>
        <v>358.5</v>
      </c>
      <c r="F10" s="14">
        <f t="shared" si="0"/>
        <v>1.5</v>
      </c>
      <c r="G10" s="14">
        <f t="shared" si="0"/>
        <v>3.0300000000000002</v>
      </c>
      <c r="H10" s="14">
        <f t="shared" si="0"/>
        <v>4764</v>
      </c>
      <c r="I10" s="14">
        <f t="shared" si="0"/>
        <v>34.019999999999996</v>
      </c>
      <c r="J10" s="14">
        <f t="shared" si="0"/>
        <v>2.64</v>
      </c>
      <c r="K10" s="14">
        <f t="shared" si="0"/>
        <v>279.29999999999995</v>
      </c>
      <c r="L10" s="14">
        <f t="shared" si="0"/>
        <v>380745288</v>
      </c>
      <c r="M10" s="14">
        <f t="shared" si="0"/>
        <v>6853415</v>
      </c>
      <c r="N10" s="14">
        <f t="shared" si="0"/>
        <v>0</v>
      </c>
      <c r="O10" s="14">
        <f t="shared" si="0"/>
        <v>387598703</v>
      </c>
      <c r="P10" s="14">
        <f t="shared" ref="P10:AM10" si="1">SUM(P11:P971)</f>
        <v>10368</v>
      </c>
      <c r="Q10" s="14">
        <f t="shared" si="1"/>
        <v>358.5</v>
      </c>
      <c r="R10" s="14">
        <f t="shared" si="1"/>
        <v>1.5</v>
      </c>
      <c r="S10" s="14">
        <f t="shared" si="1"/>
        <v>3.0300000000000002</v>
      </c>
      <c r="T10" s="14">
        <f t="shared" si="1"/>
        <v>4764</v>
      </c>
      <c r="U10" s="14">
        <f t="shared" si="1"/>
        <v>34.019999999999996</v>
      </c>
      <c r="V10" s="14">
        <f t="shared" si="1"/>
        <v>2.64</v>
      </c>
      <c r="W10" s="14">
        <f t="shared" si="1"/>
        <v>279.29999999999995</v>
      </c>
      <c r="X10" s="14">
        <f t="shared" si="1"/>
        <v>380745288</v>
      </c>
      <c r="Y10" s="14">
        <f t="shared" si="1"/>
        <v>6853415</v>
      </c>
      <c r="Z10" s="14">
        <f t="shared" si="1"/>
        <v>0</v>
      </c>
      <c r="AA10" s="14">
        <f t="shared" si="1"/>
        <v>387598703</v>
      </c>
      <c r="AB10" s="14">
        <f t="shared" si="1"/>
        <v>10368</v>
      </c>
      <c r="AC10" s="14">
        <f t="shared" si="1"/>
        <v>358.5</v>
      </c>
      <c r="AD10" s="14">
        <f t="shared" si="1"/>
        <v>1.5</v>
      </c>
      <c r="AE10" s="14">
        <f t="shared" si="1"/>
        <v>3.0300000000000002</v>
      </c>
      <c r="AF10" s="14">
        <f t="shared" si="1"/>
        <v>4764</v>
      </c>
      <c r="AG10" s="14">
        <f t="shared" si="1"/>
        <v>34.019999999999996</v>
      </c>
      <c r="AH10" s="14">
        <f t="shared" si="1"/>
        <v>2.64</v>
      </c>
      <c r="AI10" s="14">
        <f t="shared" si="1"/>
        <v>279.29999999999995</v>
      </c>
      <c r="AJ10" s="14">
        <f t="shared" si="1"/>
        <v>380745288</v>
      </c>
      <c r="AK10" s="14">
        <f t="shared" si="1"/>
        <v>6853415</v>
      </c>
      <c r="AL10" s="14">
        <f t="shared" si="1"/>
        <v>0</v>
      </c>
      <c r="AM10" s="14">
        <f t="shared" si="1"/>
        <v>387598703</v>
      </c>
    </row>
    <row r="11" spans="1:39">
      <c r="A11" s="15" t="s">
        <v>18</v>
      </c>
      <c r="B11" s="16">
        <v>45717215.210000001</v>
      </c>
      <c r="C11" s="17">
        <v>50994684</v>
      </c>
      <c r="D11" s="17">
        <v>1514</v>
      </c>
      <c r="E11" s="17">
        <v>119.5</v>
      </c>
      <c r="F11" s="17">
        <v>0.5</v>
      </c>
      <c r="G11" s="17">
        <v>1.01</v>
      </c>
      <c r="H11" s="17">
        <v>543</v>
      </c>
      <c r="I11" s="17">
        <v>11.34</v>
      </c>
      <c r="J11" s="17">
        <v>0.88</v>
      </c>
      <c r="K11" s="17">
        <v>93.1</v>
      </c>
      <c r="L11" s="18">
        <f>ROUND((D11*E11*F11*G11+(D11-H11)*I11*J11)*K11*12*0.5,0)</f>
        <v>56449836</v>
      </c>
      <c r="M11" s="18">
        <f>ROUND(L11*1.8/100,0)</f>
        <v>1016097</v>
      </c>
      <c r="N11" s="19"/>
      <c r="O11" s="18">
        <f>L11+M11+N11</f>
        <v>57465933</v>
      </c>
      <c r="P11" s="17">
        <v>1514</v>
      </c>
      <c r="Q11" s="17">
        <v>119.5</v>
      </c>
      <c r="R11" s="17">
        <v>0.5</v>
      </c>
      <c r="S11" s="17">
        <v>1.01</v>
      </c>
      <c r="T11" s="17">
        <v>543</v>
      </c>
      <c r="U11" s="17">
        <v>11.34</v>
      </c>
      <c r="V11" s="17">
        <v>0.88</v>
      </c>
      <c r="W11" s="17">
        <v>93.1</v>
      </c>
      <c r="X11" s="18">
        <f>ROUND((P11*Q11*R11*S11+(P11-T11)*U11*V11)*W11*12*0.5,0)</f>
        <v>56449836</v>
      </c>
      <c r="Y11" s="18">
        <f>ROUND(X11*1.8/100,0)</f>
        <v>1016097</v>
      </c>
      <c r="Z11" s="19"/>
      <c r="AA11" s="18">
        <f>X11+Y11+Z11</f>
        <v>57465933</v>
      </c>
      <c r="AB11" s="17">
        <v>1514</v>
      </c>
      <c r="AC11" s="17">
        <v>119.5</v>
      </c>
      <c r="AD11" s="17">
        <v>0.5</v>
      </c>
      <c r="AE11" s="17">
        <v>1.01</v>
      </c>
      <c r="AF11" s="17">
        <v>543</v>
      </c>
      <c r="AG11" s="17">
        <v>11.34</v>
      </c>
      <c r="AH11" s="17">
        <v>0.88</v>
      </c>
      <c r="AI11" s="17">
        <v>93.1</v>
      </c>
      <c r="AJ11" s="18">
        <f>ROUND((AB11*AC11*AD11*AE11+(AB11-AF11)*AG11*AH11)*AI11*12*0.5,0)</f>
        <v>56449836</v>
      </c>
      <c r="AK11" s="18">
        <f>ROUND(AJ11*1.8/100,0)</f>
        <v>1016097</v>
      </c>
      <c r="AL11" s="19"/>
      <c r="AM11" s="18">
        <f>AJ11+AK11+AL11</f>
        <v>57465933</v>
      </c>
    </row>
    <row r="12" spans="1:39">
      <c r="A12" s="15" t="s">
        <v>19</v>
      </c>
      <c r="B12" s="16">
        <v>257947809.21000001</v>
      </c>
      <c r="C12" s="17">
        <v>295163456</v>
      </c>
      <c r="D12" s="17">
        <v>8242</v>
      </c>
      <c r="E12" s="17">
        <v>119.5</v>
      </c>
      <c r="F12" s="17">
        <v>0.5</v>
      </c>
      <c r="G12" s="17">
        <v>1.01</v>
      </c>
      <c r="H12" s="17">
        <v>3958</v>
      </c>
      <c r="I12" s="17">
        <v>11.34</v>
      </c>
      <c r="J12" s="17">
        <v>0.88</v>
      </c>
      <c r="K12" s="17">
        <v>93.1</v>
      </c>
      <c r="L12" s="18">
        <f t="shared" ref="L12:L15" si="2">ROUND((D12*E12*F12*G12+(D12-H12)*I12*J12)*K12*12*0.5,0)</f>
        <v>301719404</v>
      </c>
      <c r="M12" s="18">
        <f t="shared" ref="M12:M15" si="3">ROUND(L12*1.8/100,0)</f>
        <v>5430949</v>
      </c>
      <c r="N12" s="19"/>
      <c r="O12" s="18">
        <f t="shared" ref="O12:O15" si="4">L12+M12+N12</f>
        <v>307150353</v>
      </c>
      <c r="P12" s="17">
        <v>8242</v>
      </c>
      <c r="Q12" s="17">
        <v>119.5</v>
      </c>
      <c r="R12" s="17">
        <v>0.5</v>
      </c>
      <c r="S12" s="17">
        <v>1.01</v>
      </c>
      <c r="T12" s="17">
        <v>3958</v>
      </c>
      <c r="U12" s="17">
        <v>11.34</v>
      </c>
      <c r="V12" s="17">
        <v>0.88</v>
      </c>
      <c r="W12" s="17">
        <v>93.1</v>
      </c>
      <c r="X12" s="18">
        <f t="shared" ref="X12:X15" si="5">ROUND((P12*Q12*R12*S12+(P12-T12)*U12*V12)*W12*12*0.5,0)</f>
        <v>301719404</v>
      </c>
      <c r="Y12" s="18">
        <f t="shared" ref="Y12:Y15" si="6">ROUND(X12*1.8/100,0)</f>
        <v>5430949</v>
      </c>
      <c r="Z12" s="19"/>
      <c r="AA12" s="18">
        <f t="shared" ref="AA12:AA15" si="7">X12+Y12+Z12</f>
        <v>307150353</v>
      </c>
      <c r="AB12" s="17">
        <v>8242</v>
      </c>
      <c r="AC12" s="17">
        <v>119.5</v>
      </c>
      <c r="AD12" s="17">
        <v>0.5</v>
      </c>
      <c r="AE12" s="17">
        <v>1.01</v>
      </c>
      <c r="AF12" s="17">
        <v>3958</v>
      </c>
      <c r="AG12" s="17">
        <v>11.34</v>
      </c>
      <c r="AH12" s="17">
        <v>0.88</v>
      </c>
      <c r="AI12" s="17">
        <v>93.1</v>
      </c>
      <c r="AJ12" s="18">
        <f t="shared" ref="AJ12:AJ15" si="8">ROUND((AB12*AC12*AD12*AE12+(AB12-AF12)*AG12*AH12)*AI12*12*0.5,0)</f>
        <v>301719404</v>
      </c>
      <c r="AK12" s="18">
        <f t="shared" ref="AK12:AK15" si="9">ROUND(AJ12*1.8/100,0)</f>
        <v>5430949</v>
      </c>
      <c r="AL12" s="19"/>
      <c r="AM12" s="18">
        <f t="shared" ref="AM12:AM15" si="10">AJ12+AK12+AL12</f>
        <v>307150353</v>
      </c>
    </row>
    <row r="13" spans="1:39">
      <c r="A13" s="15" t="s">
        <v>20</v>
      </c>
      <c r="B13" s="17">
        <v>18037795.050000001</v>
      </c>
      <c r="C13" s="17">
        <v>21096143</v>
      </c>
      <c r="D13" s="17">
        <v>612</v>
      </c>
      <c r="E13" s="17">
        <v>119.5</v>
      </c>
      <c r="F13" s="17">
        <v>0.5</v>
      </c>
      <c r="G13" s="17">
        <v>1.01</v>
      </c>
      <c r="H13" s="17">
        <v>263</v>
      </c>
      <c r="I13" s="17">
        <v>11.34</v>
      </c>
      <c r="J13" s="17">
        <v>0.88</v>
      </c>
      <c r="K13" s="17">
        <v>93.1</v>
      </c>
      <c r="L13" s="18">
        <f t="shared" si="2"/>
        <v>22576048</v>
      </c>
      <c r="M13" s="18">
        <f t="shared" si="3"/>
        <v>406369</v>
      </c>
      <c r="N13" s="19"/>
      <c r="O13" s="18">
        <f t="shared" si="4"/>
        <v>22982417</v>
      </c>
      <c r="P13" s="17">
        <v>612</v>
      </c>
      <c r="Q13" s="17">
        <v>119.5</v>
      </c>
      <c r="R13" s="17">
        <v>0.5</v>
      </c>
      <c r="S13" s="17">
        <v>1.01</v>
      </c>
      <c r="T13" s="17">
        <v>263</v>
      </c>
      <c r="U13" s="17">
        <v>11.34</v>
      </c>
      <c r="V13" s="17">
        <v>0.88</v>
      </c>
      <c r="W13" s="17">
        <v>93.1</v>
      </c>
      <c r="X13" s="18">
        <f t="shared" si="5"/>
        <v>22576048</v>
      </c>
      <c r="Y13" s="18">
        <f t="shared" si="6"/>
        <v>406369</v>
      </c>
      <c r="Z13" s="19"/>
      <c r="AA13" s="18">
        <f t="shared" si="7"/>
        <v>22982417</v>
      </c>
      <c r="AB13" s="17">
        <v>612</v>
      </c>
      <c r="AC13" s="17">
        <v>119.5</v>
      </c>
      <c r="AD13" s="17">
        <v>0.5</v>
      </c>
      <c r="AE13" s="17">
        <v>1.01</v>
      </c>
      <c r="AF13" s="17">
        <v>263</v>
      </c>
      <c r="AG13" s="17">
        <v>11.34</v>
      </c>
      <c r="AH13" s="17">
        <v>0.88</v>
      </c>
      <c r="AI13" s="17">
        <v>93.1</v>
      </c>
      <c r="AJ13" s="18">
        <f t="shared" si="8"/>
        <v>22576048</v>
      </c>
      <c r="AK13" s="18">
        <f t="shared" si="9"/>
        <v>406369</v>
      </c>
      <c r="AL13" s="19"/>
      <c r="AM13" s="18">
        <f t="shared" si="10"/>
        <v>22982417</v>
      </c>
    </row>
    <row r="14" spans="1:39">
      <c r="A14" s="15" t="s">
        <v>21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8">
        <f t="shared" si="2"/>
        <v>0</v>
      </c>
      <c r="M14" s="18">
        <f t="shared" si="3"/>
        <v>0</v>
      </c>
      <c r="N14" s="19"/>
      <c r="O14" s="18">
        <f t="shared" si="4"/>
        <v>0</v>
      </c>
      <c r="P14" s="19"/>
      <c r="Q14" s="19"/>
      <c r="R14" s="19"/>
      <c r="S14" s="19"/>
      <c r="T14" s="19"/>
      <c r="U14" s="19"/>
      <c r="V14" s="19"/>
      <c r="W14" s="19"/>
      <c r="X14" s="18">
        <f t="shared" si="5"/>
        <v>0</v>
      </c>
      <c r="Y14" s="18">
        <f t="shared" si="6"/>
        <v>0</v>
      </c>
      <c r="Z14" s="19"/>
      <c r="AA14" s="18">
        <f t="shared" si="7"/>
        <v>0</v>
      </c>
      <c r="AB14" s="19"/>
      <c r="AC14" s="19"/>
      <c r="AD14" s="19"/>
      <c r="AE14" s="19"/>
      <c r="AF14" s="19"/>
      <c r="AG14" s="19"/>
      <c r="AH14" s="19"/>
      <c r="AI14" s="19"/>
      <c r="AJ14" s="18">
        <f t="shared" si="8"/>
        <v>0</v>
      </c>
      <c r="AK14" s="18">
        <f t="shared" si="9"/>
        <v>0</v>
      </c>
      <c r="AL14" s="19"/>
      <c r="AM14" s="18">
        <f t="shared" si="10"/>
        <v>0</v>
      </c>
    </row>
    <row r="15" spans="1:39">
      <c r="A15" s="15" t="s">
        <v>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>
        <f t="shared" si="2"/>
        <v>0</v>
      </c>
      <c r="M15" s="18">
        <f t="shared" si="3"/>
        <v>0</v>
      </c>
      <c r="N15" s="19"/>
      <c r="O15" s="18">
        <f t="shared" si="4"/>
        <v>0</v>
      </c>
      <c r="P15" s="19"/>
      <c r="Q15" s="19"/>
      <c r="R15" s="19"/>
      <c r="S15" s="19"/>
      <c r="T15" s="19"/>
      <c r="U15" s="19"/>
      <c r="V15" s="19"/>
      <c r="W15" s="19"/>
      <c r="X15" s="18">
        <f t="shared" si="5"/>
        <v>0</v>
      </c>
      <c r="Y15" s="18">
        <f t="shared" si="6"/>
        <v>0</v>
      </c>
      <c r="Z15" s="19"/>
      <c r="AA15" s="18">
        <f t="shared" si="7"/>
        <v>0</v>
      </c>
      <c r="AB15" s="19"/>
      <c r="AC15" s="19"/>
      <c r="AD15" s="19"/>
      <c r="AE15" s="19"/>
      <c r="AF15" s="19"/>
      <c r="AG15" s="19"/>
      <c r="AH15" s="19"/>
      <c r="AI15" s="19"/>
      <c r="AJ15" s="18">
        <f t="shared" si="8"/>
        <v>0</v>
      </c>
      <c r="AK15" s="18">
        <f t="shared" si="9"/>
        <v>0</v>
      </c>
      <c r="AL15" s="19"/>
      <c r="AM15" s="18">
        <f t="shared" si="10"/>
        <v>0</v>
      </c>
    </row>
    <row r="16" spans="1:39"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5:39"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5:39"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5:39"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5:39"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5:39"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5:39"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5:39"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5:39"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5:39"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5:39"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5:39"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5:39"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5:39"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5:39"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5:39"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5:39"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5:39"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15:39"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15:39"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15:39"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15:39"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5:39"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15:39"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15:39"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15:39"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15:39"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5:39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5:39"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5:39"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5:39"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5:39"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15:39"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15:39"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15:39"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15:39"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15:39"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15:39"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15:39"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15:39"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15:39"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15:39"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15:39"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15:39"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15:39"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15:39"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15:39"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15:39"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15:39"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15:39"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15:39"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15:39"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15:39"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15:39"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15:39"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15:39"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15:39"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15:39"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15:39"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15:39"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15:39"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15:39"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15:39"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15:39"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15:39"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15:39"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15:39"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</row>
    <row r="83" spans="15:39"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</row>
    <row r="84" spans="15:39"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</row>
    <row r="85" spans="15:39"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  <row r="86" spans="15:39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</row>
    <row r="87" spans="15:39"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</row>
    <row r="88" spans="15:39"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</row>
    <row r="89" spans="15:39"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</row>
    <row r="90" spans="15:39"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</row>
    <row r="91" spans="15:39"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</row>
    <row r="92" spans="15:39"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</row>
    <row r="93" spans="15:39"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</row>
    <row r="94" spans="15:39"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</row>
    <row r="95" spans="15:39"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</row>
    <row r="96" spans="15:39"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</row>
    <row r="97" spans="15:39"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</row>
    <row r="98" spans="15:39"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</row>
    <row r="99" spans="15:39"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</row>
    <row r="100" spans="15:39"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</row>
    <row r="101" spans="15:39"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</row>
    <row r="102" spans="15:39"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</row>
    <row r="103" spans="15:39"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</row>
    <row r="104" spans="15:39"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</row>
    <row r="105" spans="15:39"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</row>
    <row r="106" spans="15:39"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</row>
    <row r="107" spans="15:39"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</row>
    <row r="108" spans="15:39"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</row>
    <row r="109" spans="15:39"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</row>
    <row r="110" spans="15:39"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</row>
    <row r="111" spans="15:39"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</row>
    <row r="112" spans="15:39"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</row>
    <row r="113" spans="15:39"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</row>
    <row r="114" spans="15:39"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</row>
    <row r="115" spans="15:39"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</row>
    <row r="116" spans="15:39"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</row>
    <row r="117" spans="15:39"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</row>
    <row r="118" spans="15:39"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</row>
    <row r="119" spans="15:39"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</row>
    <row r="120" spans="15:39"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</row>
    <row r="121" spans="15:39"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</row>
    <row r="122" spans="15:39"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</row>
    <row r="123" spans="15:39"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</row>
    <row r="124" spans="15:39"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</row>
    <row r="125" spans="15:39"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</row>
    <row r="126" spans="15:39"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</row>
    <row r="127" spans="15:39"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</row>
    <row r="128" spans="15:39"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</row>
    <row r="129" spans="15:39"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</row>
    <row r="130" spans="15:39"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</row>
    <row r="131" spans="15:39"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</row>
    <row r="132" spans="15:39"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</row>
    <row r="133" spans="15:39"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</row>
    <row r="134" spans="15:39"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</row>
    <row r="135" spans="15:39"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</row>
    <row r="136" spans="15:39"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</row>
    <row r="137" spans="15:39"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</row>
    <row r="138" spans="15:39"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</row>
    <row r="139" spans="15:39"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</row>
    <row r="140" spans="15:39"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</row>
    <row r="141" spans="15:39"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</row>
  </sheetData>
  <sheetProtection algorithmName="SHA-512" hashValue="4tnRd+HFPeznoY+DJ5Ip+Y6V2IWfzy8CkfRRNKolKEfk6QmVlU7n1rugRC6Y9ZiRTekx7SrJrZC0sYKJH7wk0A==" saltValue="DiJuiwB7ylThrDGSVU6yMw==" spinCount="100000" sheet="1" objects="1" scenarios="1"/>
  <mergeCells count="4">
    <mergeCell ref="A7:A8"/>
    <mergeCell ref="D7:O7"/>
    <mergeCell ref="AB7:AM7"/>
    <mergeCell ref="P7:AA7"/>
  </mergeCells>
  <conditionalFormatting sqref="A1">
    <cfRule type="expression" dxfId="5" priority="1" stopIfTrue="1">
      <formula>HasError()</formula>
    </cfRule>
    <cfRule type="expression" dxfId="4" priority="2" stopIfTrue="1">
      <formula>LockedByCondition()</formula>
    </cfRule>
    <cfRule type="expression" dxfId="3" priority="3" stopIfTrue="1">
      <formula>Locked()</formula>
    </cfRule>
  </conditionalFormatting>
  <conditionalFormatting sqref="B1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39374999999999999" right="0" top="0.74791660000000004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.140625" customWidth="1"/>
  </cols>
  <sheetData>
    <row r="1" spans="1:2">
      <c r="A1" s="21" t="s">
        <v>23</v>
      </c>
      <c r="B1" s="21" t="s">
        <v>24</v>
      </c>
    </row>
    <row r="2" spans="1:2">
      <c r="A2" s="22" t="s">
        <v>25</v>
      </c>
      <c r="B2" s="22" t="s">
        <v>26</v>
      </c>
    </row>
    <row r="3" spans="1:2">
      <c r="A3" s="22"/>
      <c r="B3" s="22"/>
    </row>
  </sheetData>
  <sheetProtection algorithmName="SHA-512" hashValue="LiDtjg3X7i0svt4bbwODH3EbaD5ZoDt0nApTm+W5SkK4PJR4lNUGwuGWOGttT059OIKrKBEP3fuCcDQ2F+O7bA==" saltValue="zfprK7tBAQaepJXbWf5dq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" customWidth="1"/>
    <col min="2" max="2" width="36.85546875" customWidth="1"/>
  </cols>
  <sheetData>
    <row r="1" spans="1:2">
      <c r="A1" t="s">
        <v>27</v>
      </c>
      <c r="B1" t="s">
        <v>28</v>
      </c>
    </row>
    <row r="2" spans="1:2">
      <c r="A2" t="s">
        <v>29</v>
      </c>
      <c r="B2" t="s">
        <v>30</v>
      </c>
    </row>
    <row r="3" spans="1:2">
      <c r="A3" t="s">
        <v>31</v>
      </c>
      <c r="B3" t="s">
        <v>32</v>
      </c>
    </row>
    <row r="4" spans="1:2">
      <c r="A4" t="s">
        <v>33</v>
      </c>
      <c r="B4" t="s">
        <v>2</v>
      </c>
    </row>
    <row r="5" spans="1:2">
      <c r="A5" t="s">
        <v>34</v>
      </c>
      <c r="B5" t="s">
        <v>35</v>
      </c>
    </row>
    <row r="6" spans="1:2">
      <c r="A6" t="s">
        <v>36</v>
      </c>
      <c r="B6" t="s">
        <v>3</v>
      </c>
    </row>
    <row r="7" spans="1:2">
      <c r="A7" t="s">
        <v>37</v>
      </c>
      <c r="B7" t="s">
        <v>4</v>
      </c>
    </row>
    <row r="8" spans="1:2">
      <c r="A8" t="s">
        <v>38</v>
      </c>
    </row>
  </sheetData>
  <sheetProtection password="D9A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40"/>
  <sheetViews>
    <sheetView tabSelected="1" zoomScaleNormal="100" workbookViewId="0">
      <selection activeCell="N2" sqref="N2"/>
    </sheetView>
  </sheetViews>
  <sheetFormatPr defaultColWidth="14.85546875" defaultRowHeight="12.75"/>
  <cols>
    <col min="1" max="16384" width="14.85546875" style="24"/>
  </cols>
  <sheetData>
    <row r="1" spans="1:39" ht="15" customHeight="1">
      <c r="A1" s="23"/>
      <c r="B1" s="23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0" t="s">
        <v>40</v>
      </c>
      <c r="O1" s="40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>
      <c r="A2" s="23"/>
      <c r="B2" s="23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2.7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27" customHeight="1">
      <c r="A4" s="34"/>
      <c r="B4" s="41" t="s">
        <v>39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31.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25.5">
      <c r="A6" s="42" t="s">
        <v>5</v>
      </c>
      <c r="B6" s="25" t="str">
        <f>"Отчетный "&amp;(VALUE(VLOOKUP("Год",'Реквизиты документа'!$A$2:$B$20,2,0)-2))&amp;" год"</f>
        <v>Отчетный 2023 год</v>
      </c>
      <c r="C6" s="25" t="str">
        <f>"Текущий "&amp;(VALUE(VLOOKUP("Год",'Реквизиты документа'!$A$2:$B$20,2,0)-1))&amp;" год"</f>
        <v>Текущий 2024 год</v>
      </c>
      <c r="D6" s="44" t="str">
        <f>"Очередной "&amp;(VALUE(VLOOKUP("Год",'Реквизиты документа'!$A$2:$B$20,2,0)-0))&amp;" год"</f>
        <v>Очередной 2025 год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4" t="str">
        <f>(VALUE(VLOOKUP("Год",'Реквизиты документа'!$A$2:$B$20,2,0)+1))&amp;" год планового периода"</f>
        <v>2026 год планового периода</v>
      </c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4" t="str">
        <f>(VALUE(VLOOKUP("Год",'Реквизиты документа'!$A$2:$B$20,2,0)+2))&amp;" год планового периода"</f>
        <v>2027 год планового периода</v>
      </c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</row>
    <row r="7" spans="1:39" ht="293.25">
      <c r="A7" s="43"/>
      <c r="B7" s="25" t="s">
        <v>6</v>
      </c>
      <c r="C7" s="25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5" t="s">
        <v>17</v>
      </c>
      <c r="O7" s="25" t="s">
        <v>6</v>
      </c>
      <c r="P7" s="25" t="s">
        <v>7</v>
      </c>
      <c r="Q7" s="25" t="s">
        <v>8</v>
      </c>
      <c r="R7" s="25" t="s">
        <v>9</v>
      </c>
      <c r="S7" s="25" t="s">
        <v>10</v>
      </c>
      <c r="T7" s="25" t="s">
        <v>11</v>
      </c>
      <c r="U7" s="25" t="s">
        <v>12</v>
      </c>
      <c r="V7" s="25" t="s">
        <v>13</v>
      </c>
      <c r="W7" s="25" t="s">
        <v>14</v>
      </c>
      <c r="X7" s="25" t="s">
        <v>15</v>
      </c>
      <c r="Y7" s="25" t="s">
        <v>16</v>
      </c>
      <c r="Z7" s="25" t="s">
        <v>17</v>
      </c>
      <c r="AA7" s="25" t="s">
        <v>6</v>
      </c>
      <c r="AB7" s="25" t="s">
        <v>7</v>
      </c>
      <c r="AC7" s="25" t="s">
        <v>8</v>
      </c>
      <c r="AD7" s="25" t="s">
        <v>9</v>
      </c>
      <c r="AE7" s="25" t="s">
        <v>10</v>
      </c>
      <c r="AF7" s="25" t="s">
        <v>11</v>
      </c>
      <c r="AG7" s="25" t="s">
        <v>12</v>
      </c>
      <c r="AH7" s="25" t="s">
        <v>13</v>
      </c>
      <c r="AI7" s="25" t="s">
        <v>14</v>
      </c>
      <c r="AJ7" s="25" t="s">
        <v>15</v>
      </c>
      <c r="AK7" s="25" t="s">
        <v>16</v>
      </c>
      <c r="AL7" s="25" t="s">
        <v>17</v>
      </c>
      <c r="AM7" s="25" t="s">
        <v>6</v>
      </c>
    </row>
    <row r="8" spans="1:39" ht="37.5" customHeight="1">
      <c r="A8" s="26">
        <f>COLUMN()</f>
        <v>1</v>
      </c>
      <c r="B8" s="26">
        <f>COLUMN()</f>
        <v>2</v>
      </c>
      <c r="C8" s="26">
        <f>COLUMN()</f>
        <v>3</v>
      </c>
      <c r="D8" s="26">
        <f>COLUMN()</f>
        <v>4</v>
      </c>
      <c r="E8" s="26">
        <f>COLUMN()</f>
        <v>5</v>
      </c>
      <c r="F8" s="26">
        <f>COLUMN()</f>
        <v>6</v>
      </c>
      <c r="G8" s="26">
        <f>COLUMN()</f>
        <v>7</v>
      </c>
      <c r="H8" s="26">
        <f>COLUMN()</f>
        <v>8</v>
      </c>
      <c r="I8" s="26">
        <f>COLUMN()</f>
        <v>9</v>
      </c>
      <c r="J8" s="26">
        <f>COLUMN()</f>
        <v>10</v>
      </c>
      <c r="K8" s="26">
        <f>COLUMN()</f>
        <v>11</v>
      </c>
      <c r="L8" s="26" t="str">
        <f>COLUMN()&amp;"=("&amp;COLUMN()-8&amp;"*"&amp;COLUMN()-7&amp;"*"&amp;COLUMN()-6&amp;"*"&amp;COLUMN()-5&amp;"+("&amp;COLUMN()-8&amp;"-"&amp;COLUMN()-4&amp;")*"&amp;COLUMN()-3&amp;"*"&amp;COLUMN()-2&amp;")*"&amp;COLUMN()-1&amp;"*12мес*0,5"</f>
        <v>12=(4*5*6*7+(4-8)*9*10)*11*12мес*0,5</v>
      </c>
      <c r="M8" s="26" t="str">
        <f>COLUMN()&amp;"="&amp;COLUMN()-1&amp;"*1,8%"</f>
        <v>13=12*1,8%</v>
      </c>
      <c r="N8" s="26">
        <f>COLUMN()</f>
        <v>14</v>
      </c>
      <c r="O8" s="26" t="str">
        <f>COLUMN()&amp;"="&amp;COLUMN()-3&amp;"+"&amp;COLUMN()-2&amp;"+"&amp;COLUMN()-1</f>
        <v>15=12+13+14</v>
      </c>
      <c r="P8" s="26">
        <f>COLUMN()</f>
        <v>16</v>
      </c>
      <c r="Q8" s="26">
        <f>COLUMN()</f>
        <v>17</v>
      </c>
      <c r="R8" s="26">
        <f>COLUMN()</f>
        <v>18</v>
      </c>
      <c r="S8" s="26">
        <f>COLUMN()</f>
        <v>19</v>
      </c>
      <c r="T8" s="26">
        <f>COLUMN()</f>
        <v>20</v>
      </c>
      <c r="U8" s="26">
        <f>COLUMN()</f>
        <v>21</v>
      </c>
      <c r="V8" s="26">
        <f>COLUMN()</f>
        <v>22</v>
      </c>
      <c r="W8" s="26">
        <f>COLUMN()</f>
        <v>23</v>
      </c>
      <c r="X8" s="26" t="str">
        <f>COLUMN()&amp;"=("&amp;COLUMN()-8&amp;"*"&amp;COLUMN()-7&amp;"*"&amp;COLUMN()-6&amp;"*"&amp;COLUMN()-5&amp;"+("&amp;COLUMN()-8&amp;"-"&amp;COLUMN()-4&amp;")*"&amp;COLUMN()-3&amp;"*"&amp;COLUMN()-2&amp;")*"&amp;COLUMN()-1&amp;"*12мес*0,5"</f>
        <v>24=(16*17*18*19+(16-20)*21*22)*23*12мес*0,5</v>
      </c>
      <c r="Y8" s="26" t="str">
        <f>COLUMN()&amp;"="&amp;COLUMN()-1&amp;"*1,8%"</f>
        <v>25=24*1,8%</v>
      </c>
      <c r="Z8" s="26">
        <f>COLUMN()</f>
        <v>26</v>
      </c>
      <c r="AA8" s="26" t="str">
        <f>COLUMN()&amp;"="&amp;COLUMN()-3&amp;"+"&amp;COLUMN()-2&amp;"+"&amp;COLUMN()-1</f>
        <v>27=24+25+26</v>
      </c>
      <c r="AB8" s="26">
        <f>COLUMN()</f>
        <v>28</v>
      </c>
      <c r="AC8" s="26">
        <f>COLUMN()</f>
        <v>29</v>
      </c>
      <c r="AD8" s="26">
        <f>COLUMN()</f>
        <v>30</v>
      </c>
      <c r="AE8" s="26">
        <f>COLUMN()</f>
        <v>31</v>
      </c>
      <c r="AF8" s="26">
        <f>COLUMN()</f>
        <v>32</v>
      </c>
      <c r="AG8" s="26">
        <f>COLUMN()</f>
        <v>33</v>
      </c>
      <c r="AH8" s="26">
        <f>COLUMN()</f>
        <v>34</v>
      </c>
      <c r="AI8" s="26">
        <f>COLUMN()</f>
        <v>35</v>
      </c>
      <c r="AJ8" s="26" t="str">
        <f>COLUMN()&amp;"=("&amp;COLUMN()-8&amp;"*"&amp;COLUMN()-7&amp;"*"&amp;COLUMN()-6&amp;"*"&amp;COLUMN()-5&amp;"+("&amp;COLUMN()-8&amp;"-"&amp;COLUMN()-4&amp;")*"&amp;COLUMN()-3&amp;"*"&amp;COLUMN()-2&amp;")*"&amp;COLUMN()-1&amp;"*12мес*0,5"</f>
        <v>36=(28*29*30*31+(28-32)*33*34)*35*12мес*0,5</v>
      </c>
      <c r="AK8" s="26" t="str">
        <f>COLUMN()&amp;"="&amp;COLUMN()-1&amp;"*1,8%"</f>
        <v>37=36*1,8%</v>
      </c>
      <c r="AL8" s="26">
        <f>COLUMN()</f>
        <v>38</v>
      </c>
      <c r="AM8" s="26" t="str">
        <f>COLUMN()&amp;"="&amp;COLUMN()-3&amp;"+"&amp;COLUMN()-2&amp;"+"&amp;COLUMN()-1</f>
        <v>39=36+37+38</v>
      </c>
    </row>
    <row r="9" spans="1:39">
      <c r="A9" s="27"/>
      <c r="B9" s="27">
        <f t="shared" ref="B9:O9" si="0">SUM(B10:B970)</f>
        <v>321702819.47000003</v>
      </c>
      <c r="C9" s="27">
        <f t="shared" si="0"/>
        <v>367254283</v>
      </c>
      <c r="D9" s="27">
        <f t="shared" si="0"/>
        <v>10368</v>
      </c>
      <c r="E9" s="27">
        <f t="shared" si="0"/>
        <v>358.5</v>
      </c>
      <c r="F9" s="27">
        <f t="shared" si="0"/>
        <v>1.5</v>
      </c>
      <c r="G9" s="27">
        <f t="shared" si="0"/>
        <v>3.0300000000000002</v>
      </c>
      <c r="H9" s="27">
        <f t="shared" si="0"/>
        <v>4764</v>
      </c>
      <c r="I9" s="27">
        <f t="shared" si="0"/>
        <v>34.019999999999996</v>
      </c>
      <c r="J9" s="27">
        <f t="shared" si="0"/>
        <v>2.64</v>
      </c>
      <c r="K9" s="27">
        <f t="shared" si="0"/>
        <v>279.29999999999995</v>
      </c>
      <c r="L9" s="27">
        <f t="shared" si="0"/>
        <v>380745288</v>
      </c>
      <c r="M9" s="27">
        <f t="shared" si="0"/>
        <v>6853415</v>
      </c>
      <c r="N9" s="27">
        <f t="shared" si="0"/>
        <v>0</v>
      </c>
      <c r="O9" s="27">
        <f t="shared" si="0"/>
        <v>387598703</v>
      </c>
      <c r="P9" s="27">
        <f t="shared" ref="P9:AM9" si="1">SUM(P10:P970)</f>
        <v>10368</v>
      </c>
      <c r="Q9" s="27">
        <f t="shared" si="1"/>
        <v>358.5</v>
      </c>
      <c r="R9" s="27">
        <f t="shared" si="1"/>
        <v>1.5</v>
      </c>
      <c r="S9" s="27">
        <f t="shared" si="1"/>
        <v>3.0300000000000002</v>
      </c>
      <c r="T9" s="27">
        <f t="shared" si="1"/>
        <v>4764</v>
      </c>
      <c r="U9" s="27">
        <f t="shared" si="1"/>
        <v>34.019999999999996</v>
      </c>
      <c r="V9" s="27">
        <f t="shared" si="1"/>
        <v>2.64</v>
      </c>
      <c r="W9" s="27">
        <f t="shared" si="1"/>
        <v>279.29999999999995</v>
      </c>
      <c r="X9" s="27">
        <f t="shared" si="1"/>
        <v>380745288</v>
      </c>
      <c r="Y9" s="27">
        <f t="shared" si="1"/>
        <v>6853415</v>
      </c>
      <c r="Z9" s="27">
        <f t="shared" si="1"/>
        <v>0</v>
      </c>
      <c r="AA9" s="27">
        <f t="shared" si="1"/>
        <v>387598703</v>
      </c>
      <c r="AB9" s="27">
        <f t="shared" si="1"/>
        <v>10368</v>
      </c>
      <c r="AC9" s="27">
        <f t="shared" si="1"/>
        <v>358.5</v>
      </c>
      <c r="AD9" s="27">
        <f t="shared" si="1"/>
        <v>1.5</v>
      </c>
      <c r="AE9" s="27">
        <f t="shared" si="1"/>
        <v>3.0300000000000002</v>
      </c>
      <c r="AF9" s="27">
        <f t="shared" si="1"/>
        <v>4764</v>
      </c>
      <c r="AG9" s="27">
        <f t="shared" si="1"/>
        <v>34.019999999999996</v>
      </c>
      <c r="AH9" s="27">
        <f t="shared" si="1"/>
        <v>2.64</v>
      </c>
      <c r="AI9" s="27">
        <f t="shared" si="1"/>
        <v>279.29999999999995</v>
      </c>
      <c r="AJ9" s="27">
        <f t="shared" si="1"/>
        <v>380745288</v>
      </c>
      <c r="AK9" s="27">
        <f t="shared" si="1"/>
        <v>6853415</v>
      </c>
      <c r="AL9" s="27">
        <f t="shared" si="1"/>
        <v>0</v>
      </c>
      <c r="AM9" s="27">
        <f t="shared" si="1"/>
        <v>387598703</v>
      </c>
    </row>
    <row r="10" spans="1:39">
      <c r="A10" s="29" t="s">
        <v>18</v>
      </c>
      <c r="B10" s="30">
        <v>45717215.210000001</v>
      </c>
      <c r="C10" s="31">
        <v>50994684</v>
      </c>
      <c r="D10" s="31">
        <v>1514</v>
      </c>
      <c r="E10" s="31">
        <v>119.5</v>
      </c>
      <c r="F10" s="31">
        <v>0.5</v>
      </c>
      <c r="G10" s="31">
        <v>1.01</v>
      </c>
      <c r="H10" s="31">
        <v>543</v>
      </c>
      <c r="I10" s="31">
        <v>11.34</v>
      </c>
      <c r="J10" s="31">
        <v>0.88</v>
      </c>
      <c r="K10" s="31">
        <v>93.1</v>
      </c>
      <c r="L10" s="32">
        <f>ROUND((D10*E10*F10*G10+(D10-H10)*I10*J10)*K10*12*0.5,0)</f>
        <v>56449836</v>
      </c>
      <c r="M10" s="32">
        <f>ROUND(L10*1.8/100,0)</f>
        <v>1016097</v>
      </c>
      <c r="N10" s="33"/>
      <c r="O10" s="32">
        <f>L10+M10+N10</f>
        <v>57465933</v>
      </c>
      <c r="P10" s="31">
        <v>1514</v>
      </c>
      <c r="Q10" s="31">
        <v>119.5</v>
      </c>
      <c r="R10" s="31">
        <v>0.5</v>
      </c>
      <c r="S10" s="31">
        <v>1.01</v>
      </c>
      <c r="T10" s="31">
        <v>543</v>
      </c>
      <c r="U10" s="31">
        <v>11.34</v>
      </c>
      <c r="V10" s="31">
        <v>0.88</v>
      </c>
      <c r="W10" s="31">
        <v>93.1</v>
      </c>
      <c r="X10" s="32">
        <f>ROUND((P10*Q10*R10*S10+(P10-T10)*U10*V10)*W10*12*0.5,0)</f>
        <v>56449836</v>
      </c>
      <c r="Y10" s="32">
        <f>ROUND(X10*1.8/100,0)</f>
        <v>1016097</v>
      </c>
      <c r="Z10" s="33"/>
      <c r="AA10" s="32">
        <f>X10+Y10+Z10</f>
        <v>57465933</v>
      </c>
      <c r="AB10" s="31">
        <v>1514</v>
      </c>
      <c r="AC10" s="31">
        <v>119.5</v>
      </c>
      <c r="AD10" s="31">
        <v>0.5</v>
      </c>
      <c r="AE10" s="31">
        <v>1.01</v>
      </c>
      <c r="AF10" s="31">
        <v>543</v>
      </c>
      <c r="AG10" s="31">
        <v>11.34</v>
      </c>
      <c r="AH10" s="31">
        <v>0.88</v>
      </c>
      <c r="AI10" s="31">
        <v>93.1</v>
      </c>
      <c r="AJ10" s="32">
        <f>ROUND((AB10*AC10*AD10*AE10+(AB10-AF10)*AG10*AH10)*AI10*12*0.5,0)</f>
        <v>56449836</v>
      </c>
      <c r="AK10" s="32">
        <f>ROUND(AJ10*1.8/100,0)</f>
        <v>1016097</v>
      </c>
      <c r="AL10" s="33"/>
      <c r="AM10" s="32">
        <f>AJ10+AK10+AL10</f>
        <v>57465933</v>
      </c>
    </row>
    <row r="11" spans="1:39">
      <c r="A11" s="29" t="s">
        <v>19</v>
      </c>
      <c r="B11" s="30">
        <v>257947809.21000001</v>
      </c>
      <c r="C11" s="31">
        <v>295163456</v>
      </c>
      <c r="D11" s="31">
        <v>8242</v>
      </c>
      <c r="E11" s="31">
        <v>119.5</v>
      </c>
      <c r="F11" s="31">
        <v>0.5</v>
      </c>
      <c r="G11" s="31">
        <v>1.01</v>
      </c>
      <c r="H11" s="31">
        <v>3958</v>
      </c>
      <c r="I11" s="31">
        <v>11.34</v>
      </c>
      <c r="J11" s="31">
        <v>0.88</v>
      </c>
      <c r="K11" s="31">
        <v>93.1</v>
      </c>
      <c r="L11" s="32">
        <f t="shared" ref="L11:L14" si="2">ROUND((D11*E11*F11*G11+(D11-H11)*I11*J11)*K11*12*0.5,0)</f>
        <v>301719404</v>
      </c>
      <c r="M11" s="32">
        <f t="shared" ref="M11:M14" si="3">ROUND(L11*1.8/100,0)</f>
        <v>5430949</v>
      </c>
      <c r="N11" s="33"/>
      <c r="O11" s="32">
        <f t="shared" ref="O11:O14" si="4">L11+M11+N11</f>
        <v>307150353</v>
      </c>
      <c r="P11" s="31">
        <v>8242</v>
      </c>
      <c r="Q11" s="31">
        <v>119.5</v>
      </c>
      <c r="R11" s="31">
        <v>0.5</v>
      </c>
      <c r="S11" s="31">
        <v>1.01</v>
      </c>
      <c r="T11" s="31">
        <v>3958</v>
      </c>
      <c r="U11" s="31">
        <v>11.34</v>
      </c>
      <c r="V11" s="31">
        <v>0.88</v>
      </c>
      <c r="W11" s="31">
        <v>93.1</v>
      </c>
      <c r="X11" s="32">
        <f t="shared" ref="X11:X14" si="5">ROUND((P11*Q11*R11*S11+(P11-T11)*U11*V11)*W11*12*0.5,0)</f>
        <v>301719404</v>
      </c>
      <c r="Y11" s="32">
        <f t="shared" ref="Y11:Y14" si="6">ROUND(X11*1.8/100,0)</f>
        <v>5430949</v>
      </c>
      <c r="Z11" s="33"/>
      <c r="AA11" s="32">
        <f t="shared" ref="AA11:AA14" si="7">X11+Y11+Z11</f>
        <v>307150353</v>
      </c>
      <c r="AB11" s="31">
        <v>8242</v>
      </c>
      <c r="AC11" s="31">
        <v>119.5</v>
      </c>
      <c r="AD11" s="31">
        <v>0.5</v>
      </c>
      <c r="AE11" s="31">
        <v>1.01</v>
      </c>
      <c r="AF11" s="31">
        <v>3958</v>
      </c>
      <c r="AG11" s="31">
        <v>11.34</v>
      </c>
      <c r="AH11" s="31">
        <v>0.88</v>
      </c>
      <c r="AI11" s="31">
        <v>93.1</v>
      </c>
      <c r="AJ11" s="32">
        <f t="shared" ref="AJ11:AJ14" si="8">ROUND((AB11*AC11*AD11*AE11+(AB11-AF11)*AG11*AH11)*AI11*12*0.5,0)</f>
        <v>301719404</v>
      </c>
      <c r="AK11" s="32">
        <f t="shared" ref="AK11:AK14" si="9">ROUND(AJ11*1.8/100,0)</f>
        <v>5430949</v>
      </c>
      <c r="AL11" s="33"/>
      <c r="AM11" s="32">
        <f t="shared" ref="AM11:AM14" si="10">AJ11+AK11+AL11</f>
        <v>307150353</v>
      </c>
    </row>
    <row r="12" spans="1:39">
      <c r="A12" s="29" t="s">
        <v>20</v>
      </c>
      <c r="B12" s="31">
        <v>18037795.050000001</v>
      </c>
      <c r="C12" s="31">
        <v>21096143</v>
      </c>
      <c r="D12" s="31">
        <v>612</v>
      </c>
      <c r="E12" s="31">
        <v>119.5</v>
      </c>
      <c r="F12" s="31">
        <v>0.5</v>
      </c>
      <c r="G12" s="31">
        <v>1.01</v>
      </c>
      <c r="H12" s="31">
        <v>263</v>
      </c>
      <c r="I12" s="31">
        <v>11.34</v>
      </c>
      <c r="J12" s="31">
        <v>0.88</v>
      </c>
      <c r="K12" s="31">
        <v>93.1</v>
      </c>
      <c r="L12" s="32">
        <f t="shared" si="2"/>
        <v>22576048</v>
      </c>
      <c r="M12" s="32">
        <f t="shared" si="3"/>
        <v>406369</v>
      </c>
      <c r="N12" s="33"/>
      <c r="O12" s="32">
        <f t="shared" si="4"/>
        <v>22982417</v>
      </c>
      <c r="P12" s="31">
        <v>612</v>
      </c>
      <c r="Q12" s="31">
        <v>119.5</v>
      </c>
      <c r="R12" s="31">
        <v>0.5</v>
      </c>
      <c r="S12" s="31">
        <v>1.01</v>
      </c>
      <c r="T12" s="31">
        <v>263</v>
      </c>
      <c r="U12" s="31">
        <v>11.34</v>
      </c>
      <c r="V12" s="31">
        <v>0.88</v>
      </c>
      <c r="W12" s="31">
        <v>93.1</v>
      </c>
      <c r="X12" s="32">
        <f t="shared" si="5"/>
        <v>22576048</v>
      </c>
      <c r="Y12" s="32">
        <f t="shared" si="6"/>
        <v>406369</v>
      </c>
      <c r="Z12" s="33"/>
      <c r="AA12" s="32">
        <f t="shared" si="7"/>
        <v>22982417</v>
      </c>
      <c r="AB12" s="31">
        <v>612</v>
      </c>
      <c r="AC12" s="31">
        <v>119.5</v>
      </c>
      <c r="AD12" s="31">
        <v>0.5</v>
      </c>
      <c r="AE12" s="31">
        <v>1.01</v>
      </c>
      <c r="AF12" s="31">
        <v>263</v>
      </c>
      <c r="AG12" s="31">
        <v>11.34</v>
      </c>
      <c r="AH12" s="31">
        <v>0.88</v>
      </c>
      <c r="AI12" s="31">
        <v>93.1</v>
      </c>
      <c r="AJ12" s="32">
        <f t="shared" si="8"/>
        <v>22576048</v>
      </c>
      <c r="AK12" s="32">
        <f t="shared" si="9"/>
        <v>406369</v>
      </c>
      <c r="AL12" s="33"/>
      <c r="AM12" s="32">
        <f t="shared" si="10"/>
        <v>22982417</v>
      </c>
    </row>
    <row r="13" spans="1:39">
      <c r="A13" s="29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2">
        <f t="shared" si="2"/>
        <v>0</v>
      </c>
      <c r="M13" s="32">
        <f t="shared" si="3"/>
        <v>0</v>
      </c>
      <c r="N13" s="33"/>
      <c r="O13" s="32">
        <f t="shared" si="4"/>
        <v>0</v>
      </c>
      <c r="P13" s="33"/>
      <c r="Q13" s="33"/>
      <c r="R13" s="33"/>
      <c r="S13" s="33"/>
      <c r="T13" s="33"/>
      <c r="U13" s="33"/>
      <c r="V13" s="33"/>
      <c r="W13" s="33"/>
      <c r="X13" s="32">
        <f t="shared" si="5"/>
        <v>0</v>
      </c>
      <c r="Y13" s="32">
        <f t="shared" si="6"/>
        <v>0</v>
      </c>
      <c r="Z13" s="33"/>
      <c r="AA13" s="32">
        <f t="shared" si="7"/>
        <v>0</v>
      </c>
      <c r="AB13" s="33"/>
      <c r="AC13" s="33"/>
      <c r="AD13" s="33"/>
      <c r="AE13" s="33"/>
      <c r="AF13" s="33"/>
      <c r="AG13" s="33"/>
      <c r="AH13" s="33"/>
      <c r="AI13" s="33"/>
      <c r="AJ13" s="32">
        <f t="shared" si="8"/>
        <v>0</v>
      </c>
      <c r="AK13" s="32">
        <f t="shared" si="9"/>
        <v>0</v>
      </c>
      <c r="AL13" s="33"/>
      <c r="AM13" s="32">
        <f t="shared" si="10"/>
        <v>0</v>
      </c>
    </row>
    <row r="14" spans="1:39">
      <c r="A14" s="29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2">
        <f t="shared" si="2"/>
        <v>0</v>
      </c>
      <c r="M14" s="32">
        <f t="shared" si="3"/>
        <v>0</v>
      </c>
      <c r="N14" s="33"/>
      <c r="O14" s="32">
        <f t="shared" si="4"/>
        <v>0</v>
      </c>
      <c r="P14" s="33"/>
      <c r="Q14" s="33"/>
      <c r="R14" s="33"/>
      <c r="S14" s="33"/>
      <c r="T14" s="33"/>
      <c r="U14" s="33"/>
      <c r="V14" s="33"/>
      <c r="W14" s="33"/>
      <c r="X14" s="32">
        <f t="shared" si="5"/>
        <v>0</v>
      </c>
      <c r="Y14" s="32">
        <f t="shared" si="6"/>
        <v>0</v>
      </c>
      <c r="Z14" s="33"/>
      <c r="AA14" s="32">
        <f t="shared" si="7"/>
        <v>0</v>
      </c>
      <c r="AB14" s="33"/>
      <c r="AC14" s="33"/>
      <c r="AD14" s="33"/>
      <c r="AE14" s="33"/>
      <c r="AF14" s="33"/>
      <c r="AG14" s="33"/>
      <c r="AH14" s="33"/>
      <c r="AI14" s="33"/>
      <c r="AJ14" s="32">
        <f t="shared" si="8"/>
        <v>0</v>
      </c>
      <c r="AK14" s="32">
        <f t="shared" si="9"/>
        <v>0</v>
      </c>
      <c r="AL14" s="33"/>
      <c r="AM14" s="32">
        <f t="shared" si="10"/>
        <v>0</v>
      </c>
    </row>
    <row r="15" spans="1:39"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5:39"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5:39"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5:39"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5:39"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5:39"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5:39"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5:39"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5:39"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5:39"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5:39"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5:39"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5:39"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5:39"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5:39"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5:39"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5:39"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5:39"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5:39"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5:39"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5:39"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5:39"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5:39"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5:39"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5:39"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5:39"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5:39"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5:39"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5:39"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15:39"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15:39"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5:39"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15:39"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5:39"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5:39"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5:39"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5:39"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15:39"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</row>
    <row r="54" spans="15:39"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5:39"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5:39"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15:39"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15:39"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</row>
    <row r="59" spans="15:39"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</row>
    <row r="60" spans="15:39"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15:39"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</row>
    <row r="62" spans="15:39"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15:39"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spans="15:39"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</row>
    <row r="65" spans="15:39"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spans="15:39"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spans="15:39"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</row>
    <row r="68" spans="15:39"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15:39"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15:39"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15:39"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15:39"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15:39"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15:39"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15:39"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15:39"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15:39"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15:39"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</row>
    <row r="79" spans="15:39"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</row>
    <row r="80" spans="15:39"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</row>
    <row r="81" spans="15:39"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</row>
    <row r="82" spans="15:39"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15:39"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</row>
    <row r="84" spans="15:39"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5:39"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</row>
    <row r="86" spans="15:39"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15:39"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5:39"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</row>
    <row r="89" spans="15:39"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15:39"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15:39"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15:39"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15:39"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</row>
    <row r="94" spans="15:39"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15:39"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</row>
    <row r="96" spans="15:39"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</row>
    <row r="97" spans="15:39"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</row>
    <row r="98" spans="15:39"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</row>
    <row r="99" spans="15:39"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</row>
    <row r="100" spans="15:39"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</row>
    <row r="101" spans="15:39"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</row>
    <row r="102" spans="15:39"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</row>
    <row r="103" spans="15:39"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</row>
    <row r="104" spans="15:39"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</row>
    <row r="105" spans="15:39"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</row>
    <row r="106" spans="15:39"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</row>
    <row r="107" spans="15:39"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</row>
    <row r="108" spans="15:39"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</row>
    <row r="109" spans="15:39"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</row>
    <row r="110" spans="15:39"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</row>
    <row r="111" spans="15:39"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</row>
    <row r="112" spans="15:39"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</row>
    <row r="113" spans="15:39"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</row>
    <row r="114" spans="15:39"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</row>
    <row r="115" spans="15:39"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</row>
    <row r="116" spans="15:39"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</row>
    <row r="117" spans="15:39"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</row>
    <row r="118" spans="15:39"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</row>
    <row r="119" spans="15:39"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</row>
    <row r="120" spans="15:39"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</row>
    <row r="121" spans="15:39"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</row>
    <row r="122" spans="15:39"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</row>
    <row r="123" spans="15:39"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</row>
    <row r="124" spans="15:39"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</row>
    <row r="125" spans="15:39"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</row>
    <row r="126" spans="15:39"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</row>
    <row r="127" spans="15:39"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</row>
    <row r="128" spans="15:39"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</row>
    <row r="129" spans="15:39"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</row>
    <row r="130" spans="15:39"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</row>
    <row r="131" spans="15:39"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</row>
    <row r="132" spans="15:39"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</row>
    <row r="133" spans="15:39"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</row>
    <row r="134" spans="15:39"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</row>
    <row r="135" spans="15:39"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</row>
    <row r="136" spans="15:39"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</row>
    <row r="137" spans="15:39"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</row>
    <row r="138" spans="15:39"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</row>
    <row r="139" spans="15:39"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</row>
    <row r="140" spans="15:39"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</row>
  </sheetData>
  <mergeCells count="6">
    <mergeCell ref="AB6:AM6"/>
    <mergeCell ref="N1:O1"/>
    <mergeCell ref="B4:N4"/>
    <mergeCell ref="A6:A7"/>
    <mergeCell ref="D6:O6"/>
    <mergeCell ref="P6:AA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2" manualBreakCount="2">
    <brk id="15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ИТОГ</vt:lpstr>
      <vt:lpstr>Расчет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2024-10-11T12:54:34Z</cp:lastPrinted>
  <dcterms:created xsi:type="dcterms:W3CDTF">2006-09-28T05:33:49Z</dcterms:created>
  <dcterms:modified xsi:type="dcterms:W3CDTF">2024-10-11T12:54:36Z</dcterms:modified>
</cp:coreProperties>
</file>