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9720" windowHeight="7320" activeTab="3"/>
  </bookViews>
  <sheets>
    <sheet name="0701" sheetId="1" r:id="rId1"/>
    <sheet name="0702" sheetId="2" r:id="rId2"/>
    <sheet name="0703" sheetId="3" r:id="rId3"/>
    <sheet name="СВОД" sheetId="4" r:id="rId4"/>
  </sheets>
  <definedNames>
    <definedName name="_xlnm.Print_Titles" localSheetId="0">'0701'!$A:$B,'0701'!$4:$7</definedName>
    <definedName name="_xlnm.Print_Titles" localSheetId="1">'0702'!$A:$B,'0702'!$4:$7</definedName>
    <definedName name="_xlnm.Print_Titles" localSheetId="2">'0703'!$A:$B,'0703'!$4:$7</definedName>
    <definedName name="_xlnm.Print_Titles" localSheetId="3">СВОД!$A:$B,СВОД!$4:$7</definedName>
    <definedName name="_xlnm.Print_Area" localSheetId="0">'0701'!$A$1:$AC$43</definedName>
  </definedNames>
  <calcPr calcId="125725"/>
</workbook>
</file>

<file path=xl/calcChain.xml><?xml version="1.0" encoding="utf-8"?>
<calcChain xmlns="http://schemas.openxmlformats.org/spreadsheetml/2006/main">
  <c r="AC37" i="4"/>
  <c r="AB37"/>
  <c r="AA37"/>
  <c r="X42"/>
  <c r="X41"/>
  <c r="X40"/>
  <c r="AB37" i="2"/>
  <c r="AA37"/>
  <c r="AB9"/>
  <c r="AA9"/>
  <c r="S9"/>
  <c r="T9"/>
  <c r="T35"/>
  <c r="AB34" i="3"/>
  <c r="AA34"/>
  <c r="AB24"/>
  <c r="AA24"/>
  <c r="AB20"/>
  <c r="AA20"/>
  <c r="T8"/>
  <c r="S8"/>
  <c r="D35"/>
  <c r="D34"/>
  <c r="D33"/>
  <c r="D32"/>
  <c r="D31"/>
  <c r="D30"/>
  <c r="D29"/>
  <c r="D28"/>
  <c r="D27"/>
  <c r="D26"/>
  <c r="D25"/>
  <c r="D24"/>
  <c r="D23"/>
  <c r="D22"/>
  <c r="D21"/>
  <c r="D20"/>
  <c r="D19"/>
  <c r="D18"/>
  <c r="D17"/>
  <c r="D16"/>
  <c r="D15"/>
  <c r="D14"/>
  <c r="D13"/>
  <c r="D12"/>
  <c r="D11"/>
  <c r="D10"/>
  <c r="D9"/>
  <c r="D8"/>
  <c r="AB35" i="2"/>
  <c r="AA35"/>
  <c r="AA10"/>
  <c r="AA11"/>
  <c r="AA12"/>
  <c r="AA13"/>
  <c r="AA14"/>
  <c r="AA15"/>
  <c r="AA16"/>
  <c r="AA17"/>
  <c r="AA18"/>
  <c r="AA19"/>
  <c r="AA20"/>
  <c r="AA21"/>
  <c r="AA22"/>
  <c r="AA23"/>
  <c r="AA24"/>
  <c r="AA25"/>
  <c r="AA26"/>
  <c r="AA27"/>
  <c r="AA28"/>
  <c r="AA29"/>
  <c r="AA30"/>
  <c r="AA31"/>
  <c r="AA32"/>
  <c r="AA33"/>
  <c r="AA34"/>
  <c r="AA8"/>
  <c r="S35"/>
  <c r="S27"/>
  <c r="D35"/>
  <c r="D34"/>
  <c r="D33"/>
  <c r="D32"/>
  <c r="D31"/>
  <c r="D30"/>
  <c r="D29"/>
  <c r="D28"/>
  <c r="D27"/>
  <c r="D26"/>
  <c r="D25"/>
  <c r="D24"/>
  <c r="D23"/>
  <c r="D22"/>
  <c r="D21"/>
  <c r="D20"/>
  <c r="D19"/>
  <c r="D18"/>
  <c r="D17"/>
  <c r="D16"/>
  <c r="D15"/>
  <c r="D14"/>
  <c r="D13"/>
  <c r="D12"/>
  <c r="D11"/>
  <c r="D10"/>
  <c r="D9"/>
  <c r="D8"/>
  <c r="D35" i="1"/>
  <c r="D34"/>
  <c r="D33"/>
  <c r="D32"/>
  <c r="D31"/>
  <c r="D30"/>
  <c r="D29"/>
  <c r="D28"/>
  <c r="D27"/>
  <c r="D26"/>
  <c r="D25"/>
  <c r="D24"/>
  <c r="D23"/>
  <c r="D22"/>
  <c r="D21"/>
  <c r="D20"/>
  <c r="D19"/>
  <c r="D18"/>
  <c r="D17"/>
  <c r="D16"/>
  <c r="D15"/>
  <c r="D14"/>
  <c r="D13"/>
  <c r="D12"/>
  <c r="D11"/>
  <c r="D10"/>
  <c r="D9"/>
  <c r="D8"/>
  <c r="G35" i="3" l="1"/>
  <c r="R35" s="1"/>
  <c r="S35" s="1"/>
  <c r="G34"/>
  <c r="G33"/>
  <c r="G32"/>
  <c r="G31"/>
  <c r="G30"/>
  <c r="G29"/>
  <c r="G28"/>
  <c r="G27"/>
  <c r="G26"/>
  <c r="G25"/>
  <c r="G24"/>
  <c r="G23"/>
  <c r="R23" s="1"/>
  <c r="G22"/>
  <c r="G21"/>
  <c r="G19"/>
  <c r="G18"/>
  <c r="G17"/>
  <c r="G16"/>
  <c r="G15"/>
  <c r="G14"/>
  <c r="G13"/>
  <c r="G12"/>
  <c r="G11"/>
  <c r="G10"/>
  <c r="G9"/>
  <c r="G30" i="2"/>
  <c r="G35"/>
  <c r="G34"/>
  <c r="G33"/>
  <c r="G32"/>
  <c r="G31"/>
  <c r="G29"/>
  <c r="G28"/>
  <c r="G27"/>
  <c r="G26"/>
  <c r="G25"/>
  <c r="G24"/>
  <c r="G23"/>
  <c r="G22"/>
  <c r="G21"/>
  <c r="G20"/>
  <c r="G19"/>
  <c r="G18"/>
  <c r="G17"/>
  <c r="G16"/>
  <c r="G15"/>
  <c r="G14"/>
  <c r="G12"/>
  <c r="G11"/>
  <c r="G10"/>
  <c r="G9"/>
  <c r="G35" i="1"/>
  <c r="G34"/>
  <c r="G32"/>
  <c r="G26"/>
  <c r="G25"/>
  <c r="G24"/>
  <c r="G23"/>
  <c r="G22"/>
  <c r="G20"/>
  <c r="G9"/>
  <c r="Q9" i="3"/>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G20"/>
  <c r="Q9" i="2"/>
  <c r="Q9" i="4" s="1"/>
  <c r="Q10" i="2"/>
  <c r="Q10" i="4" s="1"/>
  <c r="Q11" i="2"/>
  <c r="Q11" i="4" s="1"/>
  <c r="Q12" i="2"/>
  <c r="Q12" i="4" s="1"/>
  <c r="Q13" i="2"/>
  <c r="Q13" i="4" s="1"/>
  <c r="Q14" i="2"/>
  <c r="Q14" i="4" s="1"/>
  <c r="Q15" i="2"/>
  <c r="Q15" i="4" s="1"/>
  <c r="Q16" i="2"/>
  <c r="Q16" i="4" s="1"/>
  <c r="Q17" i="2"/>
  <c r="Q17" i="4" s="1"/>
  <c r="Q18" i="2"/>
  <c r="Q18" i="4" s="1"/>
  <c r="Q19" i="2"/>
  <c r="Q19" i="4" s="1"/>
  <c r="Q20" i="2"/>
  <c r="Q20" i="4" s="1"/>
  <c r="Q21" i="2"/>
  <c r="Q21" i="4" s="1"/>
  <c r="Q22" i="2"/>
  <c r="Q22" i="4" s="1"/>
  <c r="Q23" i="2"/>
  <c r="Q23" i="4" s="1"/>
  <c r="Q24" i="2"/>
  <c r="Q24" i="4" s="1"/>
  <c r="Q25" i="2"/>
  <c r="Q25" i="4" s="1"/>
  <c r="Q26" i="2"/>
  <c r="Q26" i="4" s="1"/>
  <c r="Q27" i="2"/>
  <c r="Q27" i="4" s="1"/>
  <c r="Q28" i="2"/>
  <c r="Q28" i="4" s="1"/>
  <c r="Q29" i="2"/>
  <c r="Q29" i="4" s="1"/>
  <c r="Q30" i="2"/>
  <c r="Q30" i="4" s="1"/>
  <c r="Q31" i="2"/>
  <c r="Q31" i="4" s="1"/>
  <c r="Q32" i="2"/>
  <c r="Q32" i="4" s="1"/>
  <c r="Q33" i="2"/>
  <c r="Q33" i="4" s="1"/>
  <c r="Q34" i="2"/>
  <c r="Q34" i="4" s="1"/>
  <c r="Q35" i="2"/>
  <c r="Q35" i="4" s="1"/>
  <c r="Q8" i="2"/>
  <c r="Q8" i="4" s="1"/>
  <c r="L9" i="2"/>
  <c r="L10"/>
  <c r="L11"/>
  <c r="L12"/>
  <c r="L13"/>
  <c r="L14"/>
  <c r="L15"/>
  <c r="L16"/>
  <c r="L17"/>
  <c r="L18"/>
  <c r="L19"/>
  <c r="L20"/>
  <c r="L21"/>
  <c r="L22"/>
  <c r="L23"/>
  <c r="L24"/>
  <c r="L25"/>
  <c r="L26"/>
  <c r="L27"/>
  <c r="L28"/>
  <c r="L29"/>
  <c r="L30"/>
  <c r="L31"/>
  <c r="L32"/>
  <c r="L33"/>
  <c r="L34"/>
  <c r="L35"/>
  <c r="G13"/>
  <c r="Q9" i="1"/>
  <c r="Q10"/>
  <c r="Q11"/>
  <c r="Q12"/>
  <c r="Q13"/>
  <c r="Q14"/>
  <c r="Q15"/>
  <c r="Q16"/>
  <c r="Q17"/>
  <c r="Q18"/>
  <c r="Q19"/>
  <c r="Q20"/>
  <c r="Q21"/>
  <c r="Q22"/>
  <c r="Q23"/>
  <c r="Q24"/>
  <c r="Q25"/>
  <c r="Q26"/>
  <c r="Q27"/>
  <c r="Q28"/>
  <c r="Q29"/>
  <c r="Q30"/>
  <c r="Q31"/>
  <c r="Q32"/>
  <c r="Q33"/>
  <c r="Q34"/>
  <c r="Q35"/>
  <c r="L9"/>
  <c r="L10"/>
  <c r="L11"/>
  <c r="L11" i="4" s="1"/>
  <c r="L12" i="1"/>
  <c r="L13"/>
  <c r="L14"/>
  <c r="L15"/>
  <c r="L16"/>
  <c r="L17"/>
  <c r="L18"/>
  <c r="L19"/>
  <c r="L20"/>
  <c r="L21"/>
  <c r="L22"/>
  <c r="L23"/>
  <c r="L24"/>
  <c r="L25"/>
  <c r="L26"/>
  <c r="L27"/>
  <c r="L28"/>
  <c r="L29"/>
  <c r="L30"/>
  <c r="L30" i="4" s="1"/>
  <c r="L31" i="1"/>
  <c r="L32"/>
  <c r="L33"/>
  <c r="L34"/>
  <c r="L35"/>
  <c r="N9" i="4"/>
  <c r="N10"/>
  <c r="N11"/>
  <c r="N12"/>
  <c r="N13"/>
  <c r="N14"/>
  <c r="N15"/>
  <c r="N16"/>
  <c r="N17"/>
  <c r="N18"/>
  <c r="N19"/>
  <c r="N20"/>
  <c r="N21"/>
  <c r="N22"/>
  <c r="N23"/>
  <c r="N24"/>
  <c r="N25"/>
  <c r="N26"/>
  <c r="N27"/>
  <c r="N28"/>
  <c r="N29"/>
  <c r="N30"/>
  <c r="N31"/>
  <c r="N32"/>
  <c r="N33"/>
  <c r="N34"/>
  <c r="N35"/>
  <c r="Q8" i="1"/>
  <c r="N8" i="4"/>
  <c r="I9"/>
  <c r="I10"/>
  <c r="I11"/>
  <c r="I12"/>
  <c r="I13"/>
  <c r="I14"/>
  <c r="I15"/>
  <c r="I16"/>
  <c r="I17"/>
  <c r="I18"/>
  <c r="I19"/>
  <c r="I20"/>
  <c r="I21"/>
  <c r="I22"/>
  <c r="I23"/>
  <c r="I24"/>
  <c r="I25"/>
  <c r="I26"/>
  <c r="I27"/>
  <c r="I28"/>
  <c r="I29"/>
  <c r="I30"/>
  <c r="I31"/>
  <c r="I32"/>
  <c r="I33"/>
  <c r="I34"/>
  <c r="I35"/>
  <c r="I8"/>
  <c r="M36"/>
  <c r="B7"/>
  <c r="N36" i="3"/>
  <c r="I36"/>
  <c r="L8"/>
  <c r="B7"/>
  <c r="N36" i="2"/>
  <c r="I36"/>
  <c r="L8"/>
  <c r="B7"/>
  <c r="L33" i="4" l="1"/>
  <c r="L22"/>
  <c r="L21"/>
  <c r="L9"/>
  <c r="R11" i="3"/>
  <c r="T11" s="1"/>
  <c r="L24" i="4"/>
  <c r="L12"/>
  <c r="R30" i="2"/>
  <c r="T30" s="1"/>
  <c r="L25" i="4"/>
  <c r="L13"/>
  <c r="L26"/>
  <c r="L14"/>
  <c r="L27"/>
  <c r="L15"/>
  <c r="L35"/>
  <c r="L34"/>
  <c r="R26" i="3"/>
  <c r="X26" s="1"/>
  <c r="R25"/>
  <c r="T25" s="1"/>
  <c r="R24"/>
  <c r="X24" s="1"/>
  <c r="L23" i="4"/>
  <c r="R14" i="3"/>
  <c r="T14" s="1"/>
  <c r="R13"/>
  <c r="T13" s="1"/>
  <c r="R12"/>
  <c r="T12" s="1"/>
  <c r="L10" i="4"/>
  <c r="R28" i="3"/>
  <c r="S28" s="1"/>
  <c r="R27"/>
  <c r="S27" s="1"/>
  <c r="R16"/>
  <c r="S16" s="1"/>
  <c r="R15"/>
  <c r="S15" s="1"/>
  <c r="R31" i="2"/>
  <c r="S31" s="1"/>
  <c r="L31" i="4"/>
  <c r="L29"/>
  <c r="R28" i="2"/>
  <c r="T28" s="1"/>
  <c r="R27"/>
  <c r="T27" s="1"/>
  <c r="R26"/>
  <c r="T26" s="1"/>
  <c r="R25"/>
  <c r="T25" s="1"/>
  <c r="R24"/>
  <c r="T24" s="1"/>
  <c r="R19"/>
  <c r="T19" s="1"/>
  <c r="L19" i="4"/>
  <c r="R18" i="2"/>
  <c r="X18" s="1"/>
  <c r="L18" i="4"/>
  <c r="L17"/>
  <c r="R16" i="2"/>
  <c r="T16" s="1"/>
  <c r="R15"/>
  <c r="X15" s="1"/>
  <c r="R14"/>
  <c r="S14" s="1"/>
  <c r="R13"/>
  <c r="T13" s="1"/>
  <c r="R12"/>
  <c r="T12" s="1"/>
  <c r="G35" i="4"/>
  <c r="G34"/>
  <c r="D33"/>
  <c r="G32"/>
  <c r="D31"/>
  <c r="D30"/>
  <c r="R29" i="2"/>
  <c r="U29" s="1"/>
  <c r="D29" i="4"/>
  <c r="D28"/>
  <c r="D27"/>
  <c r="G26"/>
  <c r="G25"/>
  <c r="G24"/>
  <c r="G23"/>
  <c r="G22"/>
  <c r="D21"/>
  <c r="G20"/>
  <c r="D19"/>
  <c r="D18"/>
  <c r="R17" i="2"/>
  <c r="D17" i="4"/>
  <c r="D16"/>
  <c r="D15"/>
  <c r="D14"/>
  <c r="D13"/>
  <c r="D12"/>
  <c r="D11"/>
  <c r="D10"/>
  <c r="G9"/>
  <c r="D8"/>
  <c r="G21" i="1"/>
  <c r="G21" i="4" s="1"/>
  <c r="D20"/>
  <c r="D35"/>
  <c r="D34"/>
  <c r="G33" i="1"/>
  <c r="G33" i="4" s="1"/>
  <c r="D32"/>
  <c r="G31" i="1"/>
  <c r="G31" i="4" s="1"/>
  <c r="G30" i="1"/>
  <c r="G30" i="4" s="1"/>
  <c r="G29" i="1"/>
  <c r="R29" s="1"/>
  <c r="G28"/>
  <c r="G28" i="4" s="1"/>
  <c r="G27" i="1"/>
  <c r="G27" i="4" s="1"/>
  <c r="D26"/>
  <c r="D25"/>
  <c r="D24"/>
  <c r="D23"/>
  <c r="D22"/>
  <c r="G19" i="1"/>
  <c r="R19" s="1"/>
  <c r="G18"/>
  <c r="G18" i="4" s="1"/>
  <c r="G17" i="1"/>
  <c r="R17" s="1"/>
  <c r="G16"/>
  <c r="G16" i="4" s="1"/>
  <c r="G15" i="1"/>
  <c r="G15" i="4" s="1"/>
  <c r="G14" i="1"/>
  <c r="G14" i="4" s="1"/>
  <c r="G13" i="1"/>
  <c r="G13" i="4" s="1"/>
  <c r="G12" i="1"/>
  <c r="G12" i="4" s="1"/>
  <c r="G11" i="1"/>
  <c r="G11" i="4" s="1"/>
  <c r="G10" i="1"/>
  <c r="G10" i="4" s="1"/>
  <c r="D9"/>
  <c r="R29" i="3"/>
  <c r="R17"/>
  <c r="U17" s="1"/>
  <c r="R30"/>
  <c r="X30" s="1"/>
  <c r="R18"/>
  <c r="X18" s="1"/>
  <c r="R31"/>
  <c r="R19"/>
  <c r="U19" s="1"/>
  <c r="L28" i="4"/>
  <c r="L16"/>
  <c r="R32" i="3"/>
  <c r="X32" s="1"/>
  <c r="R20"/>
  <c r="T20" s="1"/>
  <c r="R33"/>
  <c r="R21"/>
  <c r="X21" s="1"/>
  <c r="R9"/>
  <c r="T9" s="1"/>
  <c r="R34"/>
  <c r="R22"/>
  <c r="X22" s="1"/>
  <c r="R10"/>
  <c r="X10" s="1"/>
  <c r="T35"/>
  <c r="S23"/>
  <c r="T23"/>
  <c r="R32" i="2"/>
  <c r="R20"/>
  <c r="S20" s="1"/>
  <c r="R33"/>
  <c r="R21"/>
  <c r="S21" s="1"/>
  <c r="R9"/>
  <c r="R34"/>
  <c r="R22"/>
  <c r="R10"/>
  <c r="T10" s="1"/>
  <c r="R35"/>
  <c r="R23"/>
  <c r="S23" s="1"/>
  <c r="R11"/>
  <c r="X11" s="1"/>
  <c r="L32" i="4"/>
  <c r="L20"/>
  <c r="N36"/>
  <c r="I36"/>
  <c r="Q36"/>
  <c r="D36" i="3"/>
  <c r="G8"/>
  <c r="G36" s="1"/>
  <c r="Q36"/>
  <c r="L36"/>
  <c r="U35"/>
  <c r="D36" i="2"/>
  <c r="G8"/>
  <c r="G36" s="1"/>
  <c r="Q36"/>
  <c r="L36"/>
  <c r="L8" i="1"/>
  <c r="L8" i="4" s="1"/>
  <c r="R20" i="1"/>
  <c r="R22"/>
  <c r="R23"/>
  <c r="R24"/>
  <c r="R34"/>
  <c r="R35"/>
  <c r="G8"/>
  <c r="S30" i="2" l="1"/>
  <c r="T22"/>
  <c r="S22"/>
  <c r="S17"/>
  <c r="Y17" s="1"/>
  <c r="S24" i="1"/>
  <c r="T24"/>
  <c r="U11" i="3"/>
  <c r="S11"/>
  <c r="S10"/>
  <c r="R8"/>
  <c r="W8" s="1"/>
  <c r="X30" i="2"/>
  <c r="X23"/>
  <c r="T31"/>
  <c r="W31" s="1"/>
  <c r="G8" i="4"/>
  <c r="R8" i="2"/>
  <c r="S8" s="1"/>
  <c r="S26" i="3"/>
  <c r="T26"/>
  <c r="Z26" s="1"/>
  <c r="X25"/>
  <c r="S25"/>
  <c r="T24"/>
  <c r="S24"/>
  <c r="S14"/>
  <c r="X14"/>
  <c r="S13"/>
  <c r="S12"/>
  <c r="T10"/>
  <c r="Z10" s="1"/>
  <c r="S34"/>
  <c r="T34"/>
  <c r="Z34" s="1"/>
  <c r="X34"/>
  <c r="S33"/>
  <c r="T33"/>
  <c r="Z33" s="1"/>
  <c r="U33"/>
  <c r="S32"/>
  <c r="T32"/>
  <c r="Z32" s="1"/>
  <c r="S31"/>
  <c r="T31"/>
  <c r="W31" s="1"/>
  <c r="T30"/>
  <c r="Z30" s="1"/>
  <c r="S30"/>
  <c r="T29"/>
  <c r="Z29" s="1"/>
  <c r="S29"/>
  <c r="U28"/>
  <c r="T28"/>
  <c r="W28" s="1"/>
  <c r="U27"/>
  <c r="T27"/>
  <c r="Z27" s="1"/>
  <c r="S22"/>
  <c r="T22"/>
  <c r="Z22" s="1"/>
  <c r="S21"/>
  <c r="T21"/>
  <c r="W21" s="1"/>
  <c r="U21"/>
  <c r="S20"/>
  <c r="T17"/>
  <c r="W17" s="1"/>
  <c r="S17"/>
  <c r="T16"/>
  <c r="W16" s="1"/>
  <c r="T15"/>
  <c r="W15" s="1"/>
  <c r="U21" i="2"/>
  <c r="S11"/>
  <c r="U28"/>
  <c r="S28"/>
  <c r="U27"/>
  <c r="S26"/>
  <c r="X26"/>
  <c r="S25"/>
  <c r="U25"/>
  <c r="X24"/>
  <c r="S24"/>
  <c r="U23"/>
  <c r="S19"/>
  <c r="S18"/>
  <c r="T18"/>
  <c r="Z18" s="1"/>
  <c r="S16"/>
  <c r="T15"/>
  <c r="W15" s="1"/>
  <c r="S15"/>
  <c r="T14"/>
  <c r="Z14" s="1"/>
  <c r="X14"/>
  <c r="S13"/>
  <c r="S12"/>
  <c r="X34"/>
  <c r="T34"/>
  <c r="W34" s="1"/>
  <c r="S33"/>
  <c r="T33"/>
  <c r="Z33" s="1"/>
  <c r="S32"/>
  <c r="T32"/>
  <c r="Z32" s="1"/>
  <c r="S29"/>
  <c r="T29"/>
  <c r="Z29" s="1"/>
  <c r="T23"/>
  <c r="W23" s="1"/>
  <c r="X22"/>
  <c r="U17"/>
  <c r="T17"/>
  <c r="W17" s="1"/>
  <c r="T11"/>
  <c r="W11" s="1"/>
  <c r="X10"/>
  <c r="S10"/>
  <c r="X9"/>
  <c r="L36" i="4"/>
  <c r="R35"/>
  <c r="S35" i="1"/>
  <c r="S34"/>
  <c r="T34"/>
  <c r="R30"/>
  <c r="R29" i="4"/>
  <c r="T29" i="1"/>
  <c r="S29"/>
  <c r="G29" i="4"/>
  <c r="R28" i="1"/>
  <c r="R27"/>
  <c r="R24" i="4"/>
  <c r="R23"/>
  <c r="T23" i="1"/>
  <c r="S23"/>
  <c r="S22"/>
  <c r="T22"/>
  <c r="D36" i="4"/>
  <c r="R20"/>
  <c r="S20" i="1"/>
  <c r="T20"/>
  <c r="R19" i="4"/>
  <c r="T19" i="1"/>
  <c r="S19"/>
  <c r="G19" i="4"/>
  <c r="R18" i="1"/>
  <c r="R17" i="4"/>
  <c r="T17" i="1"/>
  <c r="S17"/>
  <c r="G17" i="4"/>
  <c r="R16" i="1"/>
  <c r="R15"/>
  <c r="R14"/>
  <c r="R12"/>
  <c r="R12" i="4" s="1"/>
  <c r="R11" i="1"/>
  <c r="R11" i="4" s="1"/>
  <c r="R10" i="1"/>
  <c r="S10" s="1"/>
  <c r="T18" i="3"/>
  <c r="Z18" s="1"/>
  <c r="S18"/>
  <c r="S9"/>
  <c r="R22" i="4"/>
  <c r="S19" i="3"/>
  <c r="T19"/>
  <c r="W19" s="1"/>
  <c r="T21" i="2"/>
  <c r="Z21" s="1"/>
  <c r="S34"/>
  <c r="U33"/>
  <c r="T20"/>
  <c r="Z20" s="1"/>
  <c r="R34" i="4"/>
  <c r="U26" i="3"/>
  <c r="U31"/>
  <c r="W24" i="2"/>
  <c r="X35" i="3"/>
  <c r="X17"/>
  <c r="X19"/>
  <c r="U32"/>
  <c r="W35"/>
  <c r="U34"/>
  <c r="X33"/>
  <c r="X28"/>
  <c r="U22"/>
  <c r="X15"/>
  <c r="U14"/>
  <c r="U30"/>
  <c r="X31"/>
  <c r="U18"/>
  <c r="U20"/>
  <c r="Y35"/>
  <c r="U13"/>
  <c r="V18"/>
  <c r="X20"/>
  <c r="U15"/>
  <c r="U29"/>
  <c r="U24"/>
  <c r="X29"/>
  <c r="X13"/>
  <c r="U25"/>
  <c r="U9"/>
  <c r="Z14"/>
  <c r="U10"/>
  <c r="V10"/>
  <c r="X27"/>
  <c r="Z25"/>
  <c r="X9"/>
  <c r="X16"/>
  <c r="V27"/>
  <c r="U16"/>
  <c r="X11"/>
  <c r="U12"/>
  <c r="W11"/>
  <c r="X23"/>
  <c r="X12"/>
  <c r="U23"/>
  <c r="Z23"/>
  <c r="U31" i="2"/>
  <c r="U22"/>
  <c r="X20"/>
  <c r="Y21"/>
  <c r="X13"/>
  <c r="X35"/>
  <c r="W35"/>
  <c r="Z25"/>
  <c r="Z13"/>
  <c r="Z10"/>
  <c r="U10"/>
  <c r="X17"/>
  <c r="X12"/>
  <c r="X31"/>
  <c r="U20"/>
  <c r="U18"/>
  <c r="U12"/>
  <c r="U32"/>
  <c r="Z12"/>
  <c r="V20"/>
  <c r="X29"/>
  <c r="V14"/>
  <c r="U11"/>
  <c r="U9"/>
  <c r="U14"/>
  <c r="X32"/>
  <c r="X16"/>
  <c r="U15"/>
  <c r="X19"/>
  <c r="W26"/>
  <c r="U26"/>
  <c r="X28"/>
  <c r="X21"/>
  <c r="W19"/>
  <c r="Z27"/>
  <c r="X25"/>
  <c r="U35"/>
  <c r="U19"/>
  <c r="X27"/>
  <c r="W30"/>
  <c r="W28"/>
  <c r="U13"/>
  <c r="U30"/>
  <c r="W9"/>
  <c r="X33"/>
  <c r="U16"/>
  <c r="U24"/>
  <c r="U34"/>
  <c r="R33" i="1"/>
  <c r="R32"/>
  <c r="R31"/>
  <c r="R26"/>
  <c r="R25"/>
  <c r="R21"/>
  <c r="R13"/>
  <c r="T13" s="1"/>
  <c r="R9"/>
  <c r="R8"/>
  <c r="V16" i="3"/>
  <c r="Y16"/>
  <c r="Y23"/>
  <c r="V23"/>
  <c r="Z12"/>
  <c r="W12"/>
  <c r="Z20"/>
  <c r="W20"/>
  <c r="Y15"/>
  <c r="V15"/>
  <c r="W9"/>
  <c r="Z9"/>
  <c r="Z35"/>
  <c r="W13"/>
  <c r="Z13"/>
  <c r="Y20" i="2"/>
  <c r="Z16"/>
  <c r="W16"/>
  <c r="X24" i="1"/>
  <c r="X24" i="4" s="1"/>
  <c r="U24" i="1"/>
  <c r="X20"/>
  <c r="T20" i="4"/>
  <c r="U20" i="1"/>
  <c r="U29"/>
  <c r="U29" i="4" s="1"/>
  <c r="X29" i="1"/>
  <c r="X17"/>
  <c r="U17"/>
  <c r="U17" i="4" s="1"/>
  <c r="U34" i="1"/>
  <c r="X34"/>
  <c r="U22"/>
  <c r="X22"/>
  <c r="X22" i="4" s="1"/>
  <c r="T35" i="1"/>
  <c r="T35" i="4" s="1"/>
  <c r="U35" i="1"/>
  <c r="X35"/>
  <c r="X23"/>
  <c r="U23"/>
  <c r="U23" i="4" s="1"/>
  <c r="U19" i="1"/>
  <c r="X19"/>
  <c r="Q36"/>
  <c r="D36"/>
  <c r="I36"/>
  <c r="B7"/>
  <c r="Y30" i="3" l="1"/>
  <c r="T23" i="4"/>
  <c r="V15" i="2"/>
  <c r="V30"/>
  <c r="V22"/>
  <c r="T8"/>
  <c r="W8" s="1"/>
  <c r="R36"/>
  <c r="R38" s="1"/>
  <c r="AA40" s="1"/>
  <c r="X8"/>
  <c r="X36" s="1"/>
  <c r="X38" s="1"/>
  <c r="AA42" s="1"/>
  <c r="Y8"/>
  <c r="U8"/>
  <c r="U36" s="1"/>
  <c r="U38" s="1"/>
  <c r="AA41" s="1"/>
  <c r="V8"/>
  <c r="X18" i="1"/>
  <c r="X18" i="4" s="1"/>
  <c r="T18" i="1"/>
  <c r="S18"/>
  <c r="S30"/>
  <c r="V30" s="1"/>
  <c r="T30"/>
  <c r="T30" i="4" s="1"/>
  <c r="X29"/>
  <c r="X35"/>
  <c r="R36" i="3"/>
  <c r="R38" s="1"/>
  <c r="AA40" s="1"/>
  <c r="V11"/>
  <c r="V32"/>
  <c r="Y31"/>
  <c r="X23" i="4"/>
  <c r="U8" i="3"/>
  <c r="U36" s="1"/>
  <c r="U38" s="1"/>
  <c r="AA41" s="1"/>
  <c r="X8"/>
  <c r="V34"/>
  <c r="X17" i="4"/>
  <c r="Y29" i="3"/>
  <c r="X20" i="4"/>
  <c r="U24"/>
  <c r="X19"/>
  <c r="U22"/>
  <c r="U35"/>
  <c r="U19"/>
  <c r="U34"/>
  <c r="X34"/>
  <c r="U20"/>
  <c r="U30" i="1"/>
  <c r="U30" i="4" s="1"/>
  <c r="T24"/>
  <c r="V26" i="3"/>
  <c r="Y25"/>
  <c r="Z24"/>
  <c r="Y24"/>
  <c r="V14"/>
  <c r="V13"/>
  <c r="Y12"/>
  <c r="Y33"/>
  <c r="V33"/>
  <c r="V31"/>
  <c r="V29"/>
  <c r="T22" i="4"/>
  <c r="V22" i="3"/>
  <c r="Y21"/>
  <c r="Y20"/>
  <c r="T19" i="4"/>
  <c r="V19" i="3"/>
  <c r="V17"/>
  <c r="V11" i="2"/>
  <c r="Y31"/>
  <c r="V31"/>
  <c r="V28"/>
  <c r="V27"/>
  <c r="Y26"/>
  <c r="V25"/>
  <c r="V24"/>
  <c r="Y19"/>
  <c r="V19"/>
  <c r="V18"/>
  <c r="Y18"/>
  <c r="Y16"/>
  <c r="Y13"/>
  <c r="V13"/>
  <c r="V12"/>
  <c r="Y12"/>
  <c r="Y35"/>
  <c r="V35"/>
  <c r="Y34"/>
  <c r="T34" i="4"/>
  <c r="Y33" i="2"/>
  <c r="V32"/>
  <c r="Y32"/>
  <c r="T29" i="4"/>
  <c r="Y29" i="2"/>
  <c r="Y23"/>
  <c r="T17" i="4"/>
  <c r="V10" i="2"/>
  <c r="V9"/>
  <c r="S33" i="1"/>
  <c r="T33"/>
  <c r="W33" s="1"/>
  <c r="T32"/>
  <c r="Z32" s="1"/>
  <c r="Z32" i="4" s="1"/>
  <c r="S32" i="1"/>
  <c r="T31"/>
  <c r="S31"/>
  <c r="R30" i="4"/>
  <c r="X30" i="1"/>
  <c r="X30" i="4" s="1"/>
  <c r="R28"/>
  <c r="T28" i="1"/>
  <c r="T28" i="4" s="1"/>
  <c r="S28" i="1"/>
  <c r="U28"/>
  <c r="U28" i="4" s="1"/>
  <c r="X28" i="1"/>
  <c r="X28" i="4" s="1"/>
  <c r="R27"/>
  <c r="T27" i="1"/>
  <c r="T27" i="4" s="1"/>
  <c r="S27" i="1"/>
  <c r="X27"/>
  <c r="X27" i="4" s="1"/>
  <c r="U27" i="1"/>
  <c r="U27" i="4" s="1"/>
  <c r="T26" i="1"/>
  <c r="S26"/>
  <c r="T25"/>
  <c r="Z25" s="1"/>
  <c r="Z25" i="4" s="1"/>
  <c r="S25" i="1"/>
  <c r="S21"/>
  <c r="T21"/>
  <c r="G36" i="4"/>
  <c r="U18" i="1"/>
  <c r="U18" i="4" s="1"/>
  <c r="R18"/>
  <c r="Z18" i="1"/>
  <c r="Z18" i="4" s="1"/>
  <c r="R16"/>
  <c r="T16" i="1"/>
  <c r="T16" i="4" s="1"/>
  <c r="U16" i="1"/>
  <c r="U16" i="4" s="1"/>
  <c r="X16" i="1"/>
  <c r="X16" i="4" s="1"/>
  <c r="S16" i="1"/>
  <c r="R15" i="4"/>
  <c r="T15" i="1"/>
  <c r="T15" i="4" s="1"/>
  <c r="S15" i="1"/>
  <c r="X15"/>
  <c r="X15" i="4" s="1"/>
  <c r="U15" i="1"/>
  <c r="U15" i="4" s="1"/>
  <c r="R14"/>
  <c r="T14" i="1"/>
  <c r="T14" i="4" s="1"/>
  <c r="U14" i="1"/>
  <c r="U14" i="4" s="1"/>
  <c r="S14" i="1"/>
  <c r="X14"/>
  <c r="X14" i="4" s="1"/>
  <c r="X12" i="1"/>
  <c r="X12" i="4" s="1"/>
  <c r="T12" i="1"/>
  <c r="T12" i="4" s="1"/>
  <c r="U12" i="1"/>
  <c r="U12" i="4" s="1"/>
  <c r="S12" i="1"/>
  <c r="S11"/>
  <c r="U11"/>
  <c r="U11" i="4" s="1"/>
  <c r="T11" i="1"/>
  <c r="T11" i="4" s="1"/>
  <c r="X11" i="1"/>
  <c r="X11" i="4" s="1"/>
  <c r="U10" i="1"/>
  <c r="U10" i="4" s="1"/>
  <c r="T10" i="1"/>
  <c r="T10" i="4" s="1"/>
  <c r="X10" i="1"/>
  <c r="X10" i="4" s="1"/>
  <c r="R10"/>
  <c r="V9" i="3"/>
  <c r="W20" i="2"/>
  <c r="S35" i="4"/>
  <c r="S20"/>
  <c r="X21" i="1"/>
  <c r="X21" i="4" s="1"/>
  <c r="R21"/>
  <c r="X13" i="1"/>
  <c r="X13" i="4" s="1"/>
  <c r="R13"/>
  <c r="S34"/>
  <c r="X9" i="1"/>
  <c r="X9" i="4" s="1"/>
  <c r="R9"/>
  <c r="T8" i="1"/>
  <c r="R8" i="4"/>
  <c r="S29"/>
  <c r="S24"/>
  <c r="S17"/>
  <c r="R33"/>
  <c r="R32"/>
  <c r="S23"/>
  <c r="S22"/>
  <c r="U31" i="1"/>
  <c r="U31" i="4" s="1"/>
  <c r="R31"/>
  <c r="X26" i="1"/>
  <c r="X26" i="4" s="1"/>
  <c r="R26"/>
  <c r="S19"/>
  <c r="S10"/>
  <c r="R25"/>
  <c r="Y13" i="3"/>
  <c r="W33"/>
  <c r="V35"/>
  <c r="Y19"/>
  <c r="W22"/>
  <c r="W29"/>
  <c r="W34"/>
  <c r="V20"/>
  <c r="Y18"/>
  <c r="Z11"/>
  <c r="W18"/>
  <c r="Z15"/>
  <c r="Z9" i="2"/>
  <c r="Z24"/>
  <c r="V17"/>
  <c r="Z23"/>
  <c r="W29"/>
  <c r="W25"/>
  <c r="W14"/>
  <c r="T13" i="4"/>
  <c r="U13" i="1"/>
  <c r="U13" i="4" s="1"/>
  <c r="S13" i="1"/>
  <c r="X32"/>
  <c r="X32" i="4" s="1"/>
  <c r="U9" i="1"/>
  <c r="U9" i="4" s="1"/>
  <c r="U26" i="1"/>
  <c r="U26" i="4" s="1"/>
  <c r="X33" i="1"/>
  <c r="X33" i="4" s="1"/>
  <c r="U33" i="1"/>
  <c r="U33" i="4" s="1"/>
  <c r="U25" i="1"/>
  <c r="U25" i="4" s="1"/>
  <c r="W14" i="3"/>
  <c r="V24"/>
  <c r="Y32"/>
  <c r="V21"/>
  <c r="Z31"/>
  <c r="Z28"/>
  <c r="Y22"/>
  <c r="Z19"/>
  <c r="Y11"/>
  <c r="W24"/>
  <c r="Y34"/>
  <c r="W30"/>
  <c r="V25"/>
  <c r="Z21"/>
  <c r="Y17"/>
  <c r="Z17"/>
  <c r="Z16"/>
  <c r="Y14"/>
  <c r="W10"/>
  <c r="Y9"/>
  <c r="Y26"/>
  <c r="W32"/>
  <c r="V30"/>
  <c r="W27"/>
  <c r="Y10"/>
  <c r="W26"/>
  <c r="V12"/>
  <c r="W25"/>
  <c r="X36"/>
  <c r="X38" s="1"/>
  <c r="AA42" s="1"/>
  <c r="W23"/>
  <c r="T36"/>
  <c r="Y27"/>
  <c r="V28"/>
  <c r="Z8"/>
  <c r="Y28"/>
  <c r="Y27" i="2"/>
  <c r="V21"/>
  <c r="W18"/>
  <c r="W12"/>
  <c r="Y10"/>
  <c r="V34"/>
  <c r="Z31"/>
  <c r="V23"/>
  <c r="Z15"/>
  <c r="W13"/>
  <c r="Z35"/>
  <c r="Z34"/>
  <c r="Y30"/>
  <c r="Z28"/>
  <c r="Y22"/>
  <c r="Y14"/>
  <c r="W10"/>
  <c r="Y24"/>
  <c r="W32"/>
  <c r="Z17"/>
  <c r="Y28"/>
  <c r="V29"/>
  <c r="Y25"/>
  <c r="Z11"/>
  <c r="W27"/>
  <c r="W33"/>
  <c r="Y15"/>
  <c r="V33"/>
  <c r="Y9"/>
  <c r="Y11"/>
  <c r="Z30"/>
  <c r="Z19"/>
  <c r="W21"/>
  <c r="V26"/>
  <c r="Z26"/>
  <c r="V16"/>
  <c r="Z22"/>
  <c r="W22"/>
  <c r="S36"/>
  <c r="S38" s="1"/>
  <c r="U32" i="1"/>
  <c r="U32" i="4" s="1"/>
  <c r="X31" i="1"/>
  <c r="X31" i="4" s="1"/>
  <c r="X25" i="1"/>
  <c r="X25" i="4" s="1"/>
  <c r="U21" i="1"/>
  <c r="U21" i="4" s="1"/>
  <c r="S9" i="1"/>
  <c r="T9"/>
  <c r="U8"/>
  <c r="S8"/>
  <c r="X8"/>
  <c r="Z19"/>
  <c r="W19"/>
  <c r="Z17"/>
  <c r="W17"/>
  <c r="Y29"/>
  <c r="V29"/>
  <c r="Y19"/>
  <c r="V19"/>
  <c r="Y23"/>
  <c r="V23"/>
  <c r="Y35"/>
  <c r="V35"/>
  <c r="Z22"/>
  <c r="W22"/>
  <c r="Z34"/>
  <c r="W34"/>
  <c r="W34" i="4" s="1"/>
  <c r="Z20" i="1"/>
  <c r="Z20" i="4" s="1"/>
  <c r="W20" i="1"/>
  <c r="W20" i="4" s="1"/>
  <c r="Y24" i="1"/>
  <c r="V24"/>
  <c r="V10"/>
  <c r="Y10"/>
  <c r="Y22"/>
  <c r="V22"/>
  <c r="Y34"/>
  <c r="V34"/>
  <c r="Z13"/>
  <c r="Z13" i="4" s="1"/>
  <c r="W29" i="1"/>
  <c r="Z29"/>
  <c r="Z29" i="4" s="1"/>
  <c r="Z23" i="1"/>
  <c r="Z23" i="4" s="1"/>
  <c r="W23" i="1"/>
  <c r="W23" i="4" s="1"/>
  <c r="Z35" i="1"/>
  <c r="W35"/>
  <c r="W35" i="4" s="1"/>
  <c r="Y17" i="1"/>
  <c r="V17"/>
  <c r="Y20"/>
  <c r="V20"/>
  <c r="Z24"/>
  <c r="W24"/>
  <c r="W24" i="4" s="1"/>
  <c r="G36" i="1"/>
  <c r="R36"/>
  <c r="R38" s="1"/>
  <c r="AA40" s="1"/>
  <c r="L36"/>
  <c r="AB23" i="3" l="1"/>
  <c r="AC23" s="1"/>
  <c r="Y17" i="4"/>
  <c r="AA18" i="3"/>
  <c r="AA30"/>
  <c r="AA17"/>
  <c r="AA29"/>
  <c r="AA21"/>
  <c r="AA19"/>
  <c r="Y19" i="4" s="1"/>
  <c r="AA16" i="3"/>
  <c r="AA28"/>
  <c r="AA32"/>
  <c r="AA15"/>
  <c r="AA27"/>
  <c r="Y20" i="4"/>
  <c r="AA14" i="3"/>
  <c r="AA26"/>
  <c r="AA33"/>
  <c r="AA13"/>
  <c r="AA25"/>
  <c r="AA12"/>
  <c r="AA8"/>
  <c r="AA11"/>
  <c r="AA23"/>
  <c r="AA35"/>
  <c r="Y35" i="4" s="1"/>
  <c r="AA31" i="3"/>
  <c r="AA10"/>
  <c r="Y10" i="4" s="1"/>
  <c r="AA22" i="3"/>
  <c r="Y22" i="4" s="1"/>
  <c r="AA34"/>
  <c r="AA9" i="3"/>
  <c r="Y24" i="4"/>
  <c r="W17"/>
  <c r="Y8" i="3"/>
  <c r="Y36" s="1"/>
  <c r="Y38" s="1"/>
  <c r="AB28"/>
  <c r="AC28" s="1"/>
  <c r="V8"/>
  <c r="V36" s="1"/>
  <c r="V38" s="1"/>
  <c r="AB35"/>
  <c r="AC35" s="1"/>
  <c r="AB30"/>
  <c r="AC30" s="1"/>
  <c r="AB20" i="2"/>
  <c r="AC20" s="1"/>
  <c r="AB8"/>
  <c r="AB26"/>
  <c r="AC26" s="1"/>
  <c r="AB14"/>
  <c r="AC14" s="1"/>
  <c r="W29" i="4"/>
  <c r="Z24"/>
  <c r="Y23"/>
  <c r="T36" i="2"/>
  <c r="T38" s="1"/>
  <c r="U8" i="4"/>
  <c r="AB16" i="2"/>
  <c r="AC16" s="1"/>
  <c r="T8" i="4"/>
  <c r="Z8" i="2"/>
  <c r="X8" i="4"/>
  <c r="AA19" i="1"/>
  <c r="AA19" i="4" s="1"/>
  <c r="AA31" i="1"/>
  <c r="AA18"/>
  <c r="AA30"/>
  <c r="AA17"/>
  <c r="AA29"/>
  <c r="AA29" i="4" s="1"/>
  <c r="AA16" i="1"/>
  <c r="AA16" i="4" s="1"/>
  <c r="AA28" i="1"/>
  <c r="AA15"/>
  <c r="AA27"/>
  <c r="AA14"/>
  <c r="AA26"/>
  <c r="AA10"/>
  <c r="AA33"/>
  <c r="AA13"/>
  <c r="AA25"/>
  <c r="AA21"/>
  <c r="AA12"/>
  <c r="AA12" i="4" s="1"/>
  <c r="AA24" i="1"/>
  <c r="AA24" i="4" s="1"/>
  <c r="AA34" i="1"/>
  <c r="AA32"/>
  <c r="AA11"/>
  <c r="AA23"/>
  <c r="AA23" i="4" s="1"/>
  <c r="AA35" i="1"/>
  <c r="AA22"/>
  <c r="AA9"/>
  <c r="AA9" i="4" s="1"/>
  <c r="AA20" i="1"/>
  <c r="AA28" i="4"/>
  <c r="AA14"/>
  <c r="AA26"/>
  <c r="AA8" i="1"/>
  <c r="AA8" i="4" s="1"/>
  <c r="Y30" i="1"/>
  <c r="Y30" i="4" s="1"/>
  <c r="Z15" i="1"/>
  <c r="Z15" i="4" s="1"/>
  <c r="W15" i="1"/>
  <c r="W15" i="4" s="1"/>
  <c r="Y12" i="1"/>
  <c r="Y12" i="4" s="1"/>
  <c r="V12" i="1"/>
  <c r="V12" i="4" s="1"/>
  <c r="AC34" i="3"/>
  <c r="AB32"/>
  <c r="AC32" s="1"/>
  <c r="AB9"/>
  <c r="AC9" s="1"/>
  <c r="AB33"/>
  <c r="AC33" s="1"/>
  <c r="S36"/>
  <c r="S38" s="1"/>
  <c r="AB31"/>
  <c r="AC31" s="1"/>
  <c r="AB29"/>
  <c r="AC29" s="1"/>
  <c r="AB10"/>
  <c r="AC10" s="1"/>
  <c r="AB18"/>
  <c r="AC18" s="1"/>
  <c r="AB16"/>
  <c r="AC16" s="1"/>
  <c r="AB22"/>
  <c r="AC22" s="1"/>
  <c r="AB26"/>
  <c r="AC26" s="1"/>
  <c r="AB27"/>
  <c r="AC27" s="1"/>
  <c r="W19" i="4"/>
  <c r="AB11" i="3"/>
  <c r="AC11" s="1"/>
  <c r="AB8"/>
  <c r="AC8" s="1"/>
  <c r="AB25"/>
  <c r="AC25" s="1"/>
  <c r="AA32" i="4"/>
  <c r="AC24" i="3"/>
  <c r="AB19"/>
  <c r="AC19" s="1"/>
  <c r="AB14"/>
  <c r="AC14" s="1"/>
  <c r="AB15"/>
  <c r="AC15" s="1"/>
  <c r="Z19" i="4"/>
  <c r="AB12" i="3"/>
  <c r="AC12" s="1"/>
  <c r="AB17"/>
  <c r="AC17" s="1"/>
  <c r="AB13"/>
  <c r="AC13" s="1"/>
  <c r="AB21"/>
  <c r="AC21" s="1"/>
  <c r="AC20"/>
  <c r="Z17" i="4"/>
  <c r="Y29"/>
  <c r="AB32" i="2"/>
  <c r="AC32" s="1"/>
  <c r="AB18"/>
  <c r="AC18" s="1"/>
  <c r="AC8"/>
  <c r="AB22"/>
  <c r="AC22" s="1"/>
  <c r="AB11"/>
  <c r="AC11" s="1"/>
  <c r="AB15"/>
  <c r="AC15" s="1"/>
  <c r="AB21"/>
  <c r="AC21" s="1"/>
  <c r="AB30"/>
  <c r="AC30" s="1"/>
  <c r="AB13"/>
  <c r="AC13" s="1"/>
  <c r="AB31"/>
  <c r="AC31" s="1"/>
  <c r="AB12"/>
  <c r="AC12" s="1"/>
  <c r="AB28"/>
  <c r="AC28" s="1"/>
  <c r="AB10"/>
  <c r="AC10" s="1"/>
  <c r="AB27"/>
  <c r="AC27" s="1"/>
  <c r="AB34"/>
  <c r="AC34" s="1"/>
  <c r="AC9"/>
  <c r="Z22" i="4"/>
  <c r="AC35" i="2"/>
  <c r="AB25"/>
  <c r="AC25" s="1"/>
  <c r="AB33"/>
  <c r="AC33" s="1"/>
  <c r="W22" i="4"/>
  <c r="AB23" i="2"/>
  <c r="AC23" s="1"/>
  <c r="AB17"/>
  <c r="AC17" s="1"/>
  <c r="W33" i="4"/>
  <c r="AB24" i="2"/>
  <c r="AC24" s="1"/>
  <c r="Z34" i="4"/>
  <c r="Z35"/>
  <c r="AB29" i="2"/>
  <c r="AC29" s="1"/>
  <c r="AB19"/>
  <c r="AC19" s="1"/>
  <c r="S30" i="4"/>
  <c r="V24"/>
  <c r="V10"/>
  <c r="V21" i="1"/>
  <c r="Y33"/>
  <c r="Y33" i="4" s="1"/>
  <c r="V22"/>
  <c r="V35"/>
  <c r="S11"/>
  <c r="AA11"/>
  <c r="V15" i="1"/>
  <c r="AA15" i="4"/>
  <c r="V23"/>
  <c r="V34"/>
  <c r="Y27" i="1"/>
  <c r="Y27" i="4" s="1"/>
  <c r="AA27"/>
  <c r="V19"/>
  <c r="V30"/>
  <c r="V17"/>
  <c r="V20"/>
  <c r="V18" i="1"/>
  <c r="V29" i="4"/>
  <c r="W27" i="1"/>
  <c r="W27" i="4" s="1"/>
  <c r="V27" i="1"/>
  <c r="Y16"/>
  <c r="Y16" i="4" s="1"/>
  <c r="Z16" i="1"/>
  <c r="Z16" i="4" s="1"/>
  <c r="V16" i="1"/>
  <c r="Y14"/>
  <c r="W10"/>
  <c r="W10" i="4" s="1"/>
  <c r="S12"/>
  <c r="V14" i="1"/>
  <c r="S27" i="4"/>
  <c r="Z33" i="1"/>
  <c r="Z33" i="4" s="1"/>
  <c r="T33"/>
  <c r="T32"/>
  <c r="Z30" i="1"/>
  <c r="Z30" i="4" s="1"/>
  <c r="W30" i="1"/>
  <c r="W30" i="4" s="1"/>
  <c r="Y28" i="1"/>
  <c r="Y28" i="4" s="1"/>
  <c r="V28" i="1"/>
  <c r="S28" i="4"/>
  <c r="Z28" i="1"/>
  <c r="Z28" i="4" s="1"/>
  <c r="W28" i="1"/>
  <c r="W28" i="4" s="1"/>
  <c r="Z27" i="1"/>
  <c r="Z27" i="4" s="1"/>
  <c r="W25" i="1"/>
  <c r="W25" i="4" s="1"/>
  <c r="T25"/>
  <c r="T18"/>
  <c r="S18"/>
  <c r="W18" i="1"/>
  <c r="W18" i="4" s="1"/>
  <c r="Y18" i="1"/>
  <c r="Y18" i="4" s="1"/>
  <c r="S16"/>
  <c r="W16" i="1"/>
  <c r="W16" i="4" s="1"/>
  <c r="S15"/>
  <c r="Y15" i="1"/>
  <c r="Y15" i="4" s="1"/>
  <c r="S14"/>
  <c r="Z14" i="1"/>
  <c r="Z14" i="4" s="1"/>
  <c r="W14" i="1"/>
  <c r="W14" i="4" s="1"/>
  <c r="W12" i="1"/>
  <c r="W12" i="4" s="1"/>
  <c r="Z12" i="1"/>
  <c r="Z12" i="4" s="1"/>
  <c r="Y11" i="1"/>
  <c r="Y11" i="4" s="1"/>
  <c r="Z11" i="1"/>
  <c r="Z11" i="4" s="1"/>
  <c r="V11" i="1"/>
  <c r="W11"/>
  <c r="W11" i="4" s="1"/>
  <c r="Z10" i="1"/>
  <c r="Z10" i="4" s="1"/>
  <c r="W8" i="1"/>
  <c r="W8" i="4" s="1"/>
  <c r="Z8" i="1"/>
  <c r="Z8" i="4" s="1"/>
  <c r="T38" i="3"/>
  <c r="AA37" s="1"/>
  <c r="W32" i="1"/>
  <c r="W32" i="4" s="1"/>
  <c r="Z26" i="1"/>
  <c r="Z26" i="4" s="1"/>
  <c r="T26"/>
  <c r="Y21" i="1"/>
  <c r="Y21" i="4" s="1"/>
  <c r="S21"/>
  <c r="V13" i="1"/>
  <c r="S13" i="4"/>
  <c r="V26" i="1"/>
  <c r="S26" i="4"/>
  <c r="W31" i="1"/>
  <c r="W31" i="4" s="1"/>
  <c r="T31"/>
  <c r="R36"/>
  <c r="R38" s="1"/>
  <c r="AA40" s="1"/>
  <c r="W21" i="1"/>
  <c r="W21" i="4" s="1"/>
  <c r="T21"/>
  <c r="V9" i="1"/>
  <c r="S9" i="4"/>
  <c r="Z9" i="1"/>
  <c r="Z9" i="4" s="1"/>
  <c r="T9"/>
  <c r="Y26" i="1"/>
  <c r="Y26" i="4" s="1"/>
  <c r="V32" i="1"/>
  <c r="S32" i="4"/>
  <c r="V33" i="1"/>
  <c r="S33" i="4"/>
  <c r="Y31" i="1"/>
  <c r="Y31" i="4" s="1"/>
  <c r="S31"/>
  <c r="S8"/>
  <c r="Y25" i="1"/>
  <c r="Y25" i="4" s="1"/>
  <c r="S25"/>
  <c r="W13" i="1"/>
  <c r="W13" i="4" s="1"/>
  <c r="Y13" i="1"/>
  <c r="Y13" i="4" s="1"/>
  <c r="Z31" i="1"/>
  <c r="Z31" i="4" s="1"/>
  <c r="V25" i="1"/>
  <c r="W26"/>
  <c r="W26" i="4" s="1"/>
  <c r="Y32" i="1"/>
  <c r="Y32" i="4" s="1"/>
  <c r="U36" i="1"/>
  <c r="U38" s="1"/>
  <c r="AA41" s="1"/>
  <c r="W36" i="3"/>
  <c r="Z36"/>
  <c r="V36" i="2"/>
  <c r="V38" s="1"/>
  <c r="Y36"/>
  <c r="Y38" s="1"/>
  <c r="W36"/>
  <c r="Z36"/>
  <c r="AA36"/>
  <c r="V31" i="1"/>
  <c r="X36"/>
  <c r="X38" s="1"/>
  <c r="AA42" s="1"/>
  <c r="Z21"/>
  <c r="Z21" i="4" s="1"/>
  <c r="W9" i="1"/>
  <c r="W9" i="4" s="1"/>
  <c r="T36" i="1"/>
  <c r="Y9"/>
  <c r="Y9" i="4" s="1"/>
  <c r="S36" i="1"/>
  <c r="Y8"/>
  <c r="Y8" i="4" s="1"/>
  <c r="V8" i="1"/>
  <c r="AA36" i="3" l="1"/>
  <c r="AA38" s="1"/>
  <c r="AA35" i="4"/>
  <c r="AA22"/>
  <c r="AA10"/>
  <c r="AA33"/>
  <c r="AA31"/>
  <c r="AA20"/>
  <c r="AA13"/>
  <c r="AA18"/>
  <c r="Y34"/>
  <c r="Y14"/>
  <c r="AA25"/>
  <c r="AA30"/>
  <c r="AA21"/>
  <c r="AA17"/>
  <c r="AB35" i="1"/>
  <c r="AC35" s="1"/>
  <c r="AC35" i="4" s="1"/>
  <c r="AB8" i="1"/>
  <c r="AB29"/>
  <c r="AB34"/>
  <c r="AB24"/>
  <c r="AC24" s="1"/>
  <c r="AC24" i="4" s="1"/>
  <c r="AB19" i="1"/>
  <c r="AC19" s="1"/>
  <c r="AC19" i="4" s="1"/>
  <c r="AB12" i="1"/>
  <c r="AC12" s="1"/>
  <c r="AC12" i="4" s="1"/>
  <c r="V27"/>
  <c r="AB27" i="1"/>
  <c r="V13" i="4"/>
  <c r="AB13" i="1"/>
  <c r="AB30"/>
  <c r="AB10"/>
  <c r="V32" i="4"/>
  <c r="AB32" i="1"/>
  <c r="V28" i="4"/>
  <c r="AB28" i="1"/>
  <c r="V16" i="4"/>
  <c r="AB16" i="1"/>
  <c r="V15" i="4"/>
  <c r="AB15" i="1"/>
  <c r="V21" i="4"/>
  <c r="AB21" i="1"/>
  <c r="V8" i="4"/>
  <c r="AB17" i="1"/>
  <c r="V11" i="4"/>
  <c r="AB11" i="1"/>
  <c r="V25" i="4"/>
  <c r="AB25" i="1"/>
  <c r="V33" i="4"/>
  <c r="AB33" i="1"/>
  <c r="AB20"/>
  <c r="AB23"/>
  <c r="V31" i="4"/>
  <c r="AB31" i="1"/>
  <c r="V14" i="4"/>
  <c r="AB14" i="1"/>
  <c r="V18" i="4"/>
  <c r="AB18" i="1"/>
  <c r="V26" i="4"/>
  <c r="AB26" i="1"/>
  <c r="AB22"/>
  <c r="V9" i="4"/>
  <c r="AB9" i="1"/>
  <c r="Z36"/>
  <c r="Z38" s="1"/>
  <c r="W38" i="3"/>
  <c r="AB37" s="1"/>
  <c r="AC37" s="1"/>
  <c r="Z38"/>
  <c r="W38" i="2"/>
  <c r="AC37" s="1"/>
  <c r="Z38"/>
  <c r="AA38"/>
  <c r="T36" i="4"/>
  <c r="X36"/>
  <c r="X38" s="1"/>
  <c r="AA42" s="1"/>
  <c r="U36"/>
  <c r="U38" s="1"/>
  <c r="AA41" s="1"/>
  <c r="S36"/>
  <c r="S38" s="1"/>
  <c r="T38" i="1"/>
  <c r="S38"/>
  <c r="V36"/>
  <c r="V38" s="1"/>
  <c r="Y36"/>
  <c r="Y38" s="1"/>
  <c r="W36"/>
  <c r="AC36" i="3"/>
  <c r="AB36"/>
  <c r="AC36" i="2"/>
  <c r="AB36"/>
  <c r="AA36" i="1"/>
  <c r="AA37" l="1"/>
  <c r="AA38" s="1"/>
  <c r="AB35" i="4"/>
  <c r="AB24"/>
  <c r="AB19"/>
  <c r="AB12"/>
  <c r="AB17"/>
  <c r="AC17" i="1"/>
  <c r="AC17" i="4" s="1"/>
  <c r="AB27"/>
  <c r="AC27" i="1"/>
  <c r="AC27" i="4" s="1"/>
  <c r="AB10"/>
  <c r="AC10" i="1"/>
  <c r="AC10" i="4" s="1"/>
  <c r="AB11"/>
  <c r="AC11" i="1"/>
  <c r="AC11" i="4" s="1"/>
  <c r="AB28"/>
  <c r="AC28" i="1"/>
  <c r="AC28" i="4" s="1"/>
  <c r="AB30"/>
  <c r="AC30" i="1"/>
  <c r="AC30" i="4" s="1"/>
  <c r="AB25"/>
  <c r="AC25" i="1"/>
  <c r="AC25" i="4" s="1"/>
  <c r="AB34"/>
  <c r="AC34" i="1"/>
  <c r="AC34" i="4" s="1"/>
  <c r="AB16"/>
  <c r="AC16" i="1"/>
  <c r="AC16" i="4" s="1"/>
  <c r="AB8"/>
  <c r="AC8" i="1"/>
  <c r="AC8" i="4" s="1"/>
  <c r="AB22"/>
  <c r="AC22" i="1"/>
  <c r="AC22" i="4" s="1"/>
  <c r="AB33"/>
  <c r="AC33" i="1"/>
  <c r="AC33" i="4" s="1"/>
  <c r="AB18"/>
  <c r="AC18" i="1"/>
  <c r="AC18" i="4" s="1"/>
  <c r="AB29"/>
  <c r="AC29" i="1"/>
  <c r="AC29" i="4" s="1"/>
  <c r="AB20"/>
  <c r="AC20" i="1"/>
  <c r="AC20" i="4" s="1"/>
  <c r="AB15"/>
  <c r="AC15" i="1"/>
  <c r="AC15" i="4" s="1"/>
  <c r="AB32"/>
  <c r="AC32" i="1"/>
  <c r="AC32" i="4" s="1"/>
  <c r="AB23"/>
  <c r="AC23" i="1"/>
  <c r="AC23" i="4" s="1"/>
  <c r="AB31"/>
  <c r="AC31" i="1"/>
  <c r="AC31" i="4" s="1"/>
  <c r="AB14"/>
  <c r="AC14" i="1"/>
  <c r="AC14" i="4" s="1"/>
  <c r="AB26"/>
  <c r="AC26" i="1"/>
  <c r="AC26" i="4" s="1"/>
  <c r="AB9"/>
  <c r="AC9" i="1"/>
  <c r="AC9" i="4" s="1"/>
  <c r="AB21"/>
  <c r="AC21" i="1"/>
  <c r="AC21" i="4" s="1"/>
  <c r="AB13"/>
  <c r="AC13" i="1"/>
  <c r="AC13" i="4" s="1"/>
  <c r="AC38" i="3"/>
  <c r="AB38"/>
  <c r="AC38" i="2"/>
  <c r="W36" i="4"/>
  <c r="AB38" i="2"/>
  <c r="Z36" i="4"/>
  <c r="Z38" s="1"/>
  <c r="AA36"/>
  <c r="T38"/>
  <c r="V36"/>
  <c r="V38" s="1"/>
  <c r="W38" i="1"/>
  <c r="AB37" s="1"/>
  <c r="Y36" i="4"/>
  <c r="Y38" s="1"/>
  <c r="AB36" i="1"/>
  <c r="AC36" l="1"/>
  <c r="AC36" i="4"/>
  <c r="AC37" i="1"/>
  <c r="AA38" i="4"/>
  <c r="AB38" i="1"/>
  <c r="W38" i="4"/>
  <c r="AB36"/>
  <c r="AC38" l="1"/>
  <c r="AC38" i="1"/>
  <c r="AB38" i="4"/>
</calcChain>
</file>

<file path=xl/sharedStrings.xml><?xml version="1.0" encoding="utf-8"?>
<sst xmlns="http://schemas.openxmlformats.org/spreadsheetml/2006/main" count="333" uniqueCount="78">
  <si>
    <t>№№  п/п</t>
  </si>
  <si>
    <t>Наименование  муниципального образования</t>
  </si>
  <si>
    <t>Нераспределенный резерв</t>
  </si>
  <si>
    <t>ИТОГО</t>
  </si>
  <si>
    <t>ВСЕГО</t>
  </si>
  <si>
    <t>Беловский  район</t>
  </si>
  <si>
    <t>Большесолдатский район</t>
  </si>
  <si>
    <t>Глушковский район</t>
  </si>
  <si>
    <t>Горшеченский район</t>
  </si>
  <si>
    <t>Дмитриевский район</t>
  </si>
  <si>
    <t>Железногорский район</t>
  </si>
  <si>
    <t>Золотухинский район</t>
  </si>
  <si>
    <t>Касторенский район</t>
  </si>
  <si>
    <t>Конышевский район</t>
  </si>
  <si>
    <t>Кореневский район</t>
  </si>
  <si>
    <t>Курский район</t>
  </si>
  <si>
    <t>Курчатовский район</t>
  </si>
  <si>
    <t>Льговский район</t>
  </si>
  <si>
    <t>Мантуровский район</t>
  </si>
  <si>
    <t>Медвенский район</t>
  </si>
  <si>
    <t>Обоянский район</t>
  </si>
  <si>
    <t>Октябрьский район</t>
  </si>
  <si>
    <t>Поныровский район</t>
  </si>
  <si>
    <t>Пристенский район</t>
  </si>
  <si>
    <t>Рыльский район</t>
  </si>
  <si>
    <t>Советский  район</t>
  </si>
  <si>
    <t>Солнцевский район</t>
  </si>
  <si>
    <t>Суджанский район</t>
  </si>
  <si>
    <t>Тимский район</t>
  </si>
  <si>
    <t>Фатежский район</t>
  </si>
  <si>
    <t>Хомутовский район</t>
  </si>
  <si>
    <t>Черемисиновский район</t>
  </si>
  <si>
    <t>Щигровский район</t>
  </si>
  <si>
    <t xml:space="preserve">Количество месяцев в году, в которые выплачивается ежемесячная денежная компенсация
</t>
  </si>
  <si>
    <t xml:space="preserve">Размер ежемесячной денежной компенсации педагогическим работникам муниципальных образовательных организаций, установленный абзацем вторым части 1 статьи 11 Закона Курской области от 9 декабря 2013 года № 121-ЗКО "Об образовании в Курской области", рублей
</t>
  </si>
  <si>
    <t>7=3*4*5*6</t>
  </si>
  <si>
    <t xml:space="preserve"> Количество месяцев в году, в которые выплачивается ежемесячная денежная компенсация
</t>
  </si>
  <si>
    <t>12=8*9*10*11</t>
  </si>
  <si>
    <t>17=13*14*15*16</t>
  </si>
  <si>
    <t xml:space="preserve">Размер ежемесячной денежной компенсации медицинским работникам муниципальных образовательных организаций, установленный абзацем третьим части 1 статьи 11 Закона Курской области от 9 декабря 2013 года № 121-ЗКО "Об образовании в Курской области", рублей
</t>
  </si>
  <si>
    <t xml:space="preserve"> Размер ежемесячной денежной компенсации библиотечным работникам муниципальных образовательных организаций, установленный абзацем четвертым части 1 статьи 11 Закона Курской области от 9 декабря 2013 года № 121-ЗКО "Об образовании в Курской области", рублей
</t>
  </si>
  <si>
    <t>18=7+12+17</t>
  </si>
  <si>
    <t>объем субвенции муниципальным образованиям (95%)</t>
  </si>
  <si>
    <t>нераспределенная между муниципальными образованиями субвенция (5%)</t>
  </si>
  <si>
    <t>в том числе</t>
  </si>
  <si>
    <t>19=18*95/100</t>
  </si>
  <si>
    <t>20=18*5/100</t>
  </si>
  <si>
    <t>22=21*95/100</t>
  </si>
  <si>
    <t>23=21*5/100</t>
  </si>
  <si>
    <t>25=24*95/100</t>
  </si>
  <si>
    <t>26=24*5/100</t>
  </si>
  <si>
    <t>2025 год</t>
  </si>
  <si>
    <t>коэффициент на 2025 год</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</si>
  <si>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0701 "Дошкольное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</si>
  <si>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0702 "Общее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</si>
  <si>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0703 "Дополнительное образование детей")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</si>
  <si>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(СВОД)
</t>
  </si>
  <si>
    <t>2026 год</t>
  </si>
  <si>
    <t>коэффициент на 2026 год</t>
  </si>
  <si>
    <t>коэффициент на 2027 год</t>
  </si>
  <si>
    <t>2027 год</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</si>
  <si>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2025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</si>
  <si>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2027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</si>
  <si>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с учетом коэффициента на 2026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</si>
  <si>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i-го муниципального образования, рублей</t>
  </si>
  <si>
    <t xml:space="preserve">Численность педагогических работников муниципальных образовательных организаций i-го муниципального образования, педагогических работников муниципальных образовательных организаций, вышедших на пенсию, i-го муниципального образования, проживающих на территории муниципального образования; членов семей умерших педагогических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i-го муниципального образования,  которые имеют право на предоставление ежемесячной денежной компенсации, человек
</t>
  </si>
  <si>
    <t xml:space="preserve">1,018 - коэффициент, учитывающий размер средств на оплату услуг кредитных организаций и организаций федеральной почтовой связи (1,5%) и налог на добавленную стоимость на услуги организаций федеральной почтовой связи (20%)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</si>
  <si>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i-го муниципального образования, рублей</t>
  </si>
  <si>
    <t xml:space="preserve">Численность медицинских работников муниципальных образовательных организаций i-го муниципального образования, медицинских работников муниципальных образовательных организаций, вышедших на пенсию, i-го муниципального образования, проживающих на территории муниципального образования, членов семей умерших медицинских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i-го муниципального образования, которые имеют право на предоставление ежемесячной денежной компенсации, человек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</si>
  <si>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i-го муниципального образования, рублей</t>
  </si>
  <si>
    <t xml:space="preserve">Численность библиотечных работников муниципальных образовательных организаций i-го муниципального образования, которые имеют право на предоставление ежемесячной денежной компенсации, человек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</si>
  <si>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i-го муниципального образования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</si>
  <si>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i-го муниципального образования
</t>
  </si>
  <si>
    <t xml:space="preserve">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i-го муниципального образования
</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</si>
  <si>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2025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</si>
  <si>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2026 год,  рублей</t>
  </si>
  <si>
    <t>Объем субвенции, предоставляемой бюджету i-го муниципального образования на осуществление отдельного государственного полномочия по предоставлению ежемесячной денежной компенсации на 2027 год,  рублей</t>
  </si>
  <si>
    <t>Приложение № 1.1</t>
  </si>
</sst>
</file>

<file path=xl/styles.xml><?xml version="1.0" encoding="utf-8"?>
<styleSheet xmlns="http://schemas.openxmlformats.org/spreadsheetml/2006/main">
  <numFmts count="2">
    <numFmt numFmtId="164" formatCode="#,##0.0000000"/>
    <numFmt numFmtId="165" formatCode="#,##0.000"/>
  </numFmts>
  <fonts count="4">
    <font>
      <sz val="10"/>
      <name val="Arial"/>
    </font>
    <font>
      <sz val="10"/>
      <name val="Times New Roman"/>
      <family val="1"/>
      <charset val="204"/>
    </font>
    <font>
      <b/>
      <sz val="10"/>
      <name val="Times New Roman"/>
      <family val="1"/>
      <charset val="204"/>
    </font>
    <font>
      <sz val="10"/>
      <color rgb="FFFF00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wrapText="1"/>
    </xf>
    <xf numFmtId="0" fontId="1" fillId="0" borderId="0" xfId="0" applyFont="1" applyFill="1"/>
    <xf numFmtId="1" fontId="2" fillId="2"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vertical="center"/>
    </xf>
    <xf numFmtId="3" fontId="1" fillId="0" borderId="1" xfId="0" applyNumberFormat="1" applyFont="1" applyFill="1" applyBorder="1" applyAlignment="1">
      <alignment horizontal="right" wrapText="1"/>
    </xf>
    <xf numFmtId="0" fontId="1" fillId="0" borderId="1" xfId="0" applyNumberFormat="1" applyFont="1" applyFill="1" applyBorder="1" applyAlignment="1" applyProtection="1">
      <alignment vertical="center"/>
    </xf>
    <xf numFmtId="0" fontId="1" fillId="3" borderId="1" xfId="0" applyFont="1" applyFill="1" applyBorder="1" applyAlignment="1">
      <alignment horizontal="center"/>
    </xf>
    <xf numFmtId="0" fontId="2" fillId="3" borderId="1" xfId="0" applyFont="1" applyFill="1" applyBorder="1" applyAlignment="1">
      <alignment horizontal="left" wrapText="1"/>
    </xf>
    <xf numFmtId="3" fontId="2" fillId="3" borderId="1" xfId="0" applyNumberFormat="1" applyFont="1" applyFill="1" applyBorder="1" applyAlignment="1"/>
    <xf numFmtId="4" fontId="2" fillId="3" borderId="1" xfId="0" applyNumberFormat="1" applyFont="1" applyFill="1" applyBorder="1" applyAlignment="1"/>
    <xf numFmtId="3" fontId="2" fillId="3" borderId="1" xfId="0" applyNumberFormat="1" applyFont="1" applyFill="1" applyBorder="1" applyAlignment="1">
      <alignment horizontal="center"/>
    </xf>
    <xf numFmtId="3" fontId="2" fillId="3" borderId="1" xfId="0" applyNumberFormat="1" applyFont="1" applyFill="1" applyBorder="1" applyAlignment="1">
      <alignment horizontal="right"/>
    </xf>
    <xf numFmtId="0" fontId="1" fillId="4" borderId="1" xfId="0" applyFont="1" applyFill="1" applyBorder="1"/>
    <xf numFmtId="0" fontId="2" fillId="4" borderId="1" xfId="0" applyFont="1" applyFill="1" applyBorder="1"/>
    <xf numFmtId="4" fontId="1" fillId="4" borderId="1" xfId="0" applyNumberFormat="1" applyFont="1" applyFill="1" applyBorder="1"/>
    <xf numFmtId="164" fontId="1" fillId="0" borderId="0" xfId="0" applyNumberFormat="1" applyFont="1" applyAlignment="1">
      <alignment horizontal="right"/>
    </xf>
    <xf numFmtId="165" fontId="1" fillId="0" borderId="1" xfId="0" applyNumberFormat="1" applyFont="1" applyFill="1" applyBorder="1" applyAlignment="1">
      <alignment horizontal="center" wrapText="1"/>
    </xf>
    <xf numFmtId="165" fontId="2" fillId="3" borderId="1" xfId="0" applyNumberFormat="1" applyFont="1" applyFill="1" applyBorder="1" applyAlignment="1">
      <alignment horizontal="center"/>
    </xf>
    <xf numFmtId="4" fontId="2" fillId="0" borderId="1" xfId="0" applyNumberFormat="1" applyFont="1" applyFill="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3" fontId="2" fillId="4" borderId="1" xfId="0" applyNumberFormat="1" applyFont="1" applyFill="1" applyBorder="1" applyAlignment="1">
      <alignment horizontal="right"/>
    </xf>
    <xf numFmtId="3" fontId="2" fillId="4" borderId="1" xfId="0" applyNumberFormat="1" applyFont="1" applyFill="1" applyBorder="1"/>
    <xf numFmtId="1" fontId="2" fillId="2"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wrapText="1"/>
    </xf>
    <xf numFmtId="3" fontId="1" fillId="0" borderId="0" xfId="0" applyNumberFormat="1" applyFont="1" applyFill="1"/>
    <xf numFmtId="3" fontId="3" fillId="0" borderId="0" xfId="0" applyNumberFormat="1" applyFont="1" applyFill="1"/>
    <xf numFmtId="3" fontId="1" fillId="0" borderId="0" xfId="0" applyNumberFormat="1" applyFont="1"/>
    <xf numFmtId="2" fontId="1" fillId="0" borderId="0" xfId="0" applyNumberFormat="1" applyFont="1" applyAlignment="1">
      <alignment horizontal="right"/>
    </xf>
    <xf numFmtId="4" fontId="1" fillId="0" borderId="0" xfId="0" applyNumberFormat="1" applyFont="1" applyAlignment="1">
      <alignment horizontal="right"/>
    </xf>
    <xf numFmtId="2" fontId="2" fillId="0" borderId="0" xfId="0" applyNumberFormat="1" applyFont="1" applyAlignment="1">
      <alignment vertical="center" wrapText="1"/>
    </xf>
    <xf numFmtId="0" fontId="1" fillId="0" borderId="0" xfId="0" applyFont="1" applyAlignment="1">
      <alignment horizontal="right"/>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horizontal="center"/>
    </xf>
  </cellXfs>
  <cellStyles count="1">
    <cellStyle name="Обычный" xfId="0" builtinId="0"/>
  </cellStyles>
  <dxfs count="0"/>
  <tableStyles count="0" defaultTableStyle="TableStyleMedium9" defaultPivotStyle="PivotStyleLight16"/>
  <colors>
    <mruColors>
      <color rgb="FFFFFF66"/>
      <color rgb="FF66FFFF"/>
      <color rgb="FFCCFF33"/>
      <color rgb="FFFFCCFF"/>
      <color rgb="FFCCFFCC"/>
      <color rgb="FFCCFF99"/>
      <color rgb="FFCCFF66"/>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AC42"/>
  <sheetViews>
    <sheetView view="pageBreakPreview" zoomScale="96" zoomScaleNormal="100" zoomScaleSheetLayoutView="96" workbookViewId="0">
      <pane xSplit="2" ySplit="7" topLeftCell="G8" activePane="bottomRight" state="frozen"/>
      <selection pane="topRight" activeCell="C1" sqref="C1"/>
      <selection pane="bottomLeft" activeCell="A8" sqref="A8"/>
      <selection pane="bottomRight" activeCell="AC2" sqref="AC2"/>
    </sheetView>
  </sheetViews>
  <sheetFormatPr defaultRowHeight="12.75"/>
  <cols>
    <col min="1" max="1" width="3.7109375" style="1" customWidth="1"/>
    <col min="2" max="2" width="23.85546875" style="1" customWidth="1"/>
    <col min="3" max="3" width="21.85546875" style="1" customWidth="1"/>
    <col min="4" max="4" width="49.7109375" style="1" customWidth="1"/>
    <col min="5" max="5" width="14.28515625" style="1" customWidth="1"/>
    <col min="6" max="6" width="19.5703125" style="1" customWidth="1"/>
    <col min="7" max="7" width="24.85546875" style="1" customWidth="1"/>
    <col min="8" max="8" width="21.28515625" style="1" customWidth="1"/>
    <col min="9" max="9" width="47.140625" style="1" customWidth="1"/>
    <col min="10" max="10" width="11.85546875" style="1" customWidth="1"/>
    <col min="11" max="11" width="19.28515625" style="1" customWidth="1"/>
    <col min="12" max="12" width="25.85546875" style="1" customWidth="1"/>
    <col min="13" max="13" width="22.42578125" style="1" customWidth="1"/>
    <col min="14" max="14" width="25.7109375" style="1" customWidth="1"/>
    <col min="15" max="15" width="14.140625" style="1" customWidth="1"/>
    <col min="16" max="16" width="19.42578125" style="1" customWidth="1"/>
    <col min="17" max="17" width="30.42578125" style="1" customWidth="1"/>
    <col min="18" max="18" width="19.28515625" style="1" customWidth="1"/>
    <col min="19" max="19" width="16.28515625" style="1" customWidth="1"/>
    <col min="20" max="20" width="16.5703125" style="1" customWidth="1"/>
    <col min="21" max="21" width="19.140625" style="1" customWidth="1"/>
    <col min="22" max="22" width="14.28515625" style="1" customWidth="1"/>
    <col min="23" max="23" width="14.5703125" style="1" customWidth="1"/>
    <col min="24" max="24" width="19.7109375" style="1" customWidth="1"/>
    <col min="25" max="25" width="14.7109375" style="1" customWidth="1"/>
    <col min="26" max="26" width="15.42578125" style="1" customWidth="1"/>
    <col min="27" max="27" width="19.7109375" style="1" customWidth="1"/>
    <col min="28" max="28" width="18.5703125" style="1" customWidth="1"/>
    <col min="29" max="29" width="18.42578125" style="1" customWidth="1"/>
    <col min="30" max="16384" width="9.140625" style="1"/>
  </cols>
  <sheetData>
    <row r="2" spans="1:29" ht="45" customHeight="1">
      <c r="C2" s="47" t="s">
        <v>53</v>
      </c>
      <c r="D2" s="47"/>
      <c r="E2" s="47"/>
      <c r="F2" s="47"/>
      <c r="G2" s="47"/>
      <c r="H2" s="47"/>
      <c r="I2" s="35"/>
      <c r="J2" s="35"/>
      <c r="K2" s="35"/>
      <c r="L2" s="2"/>
      <c r="M2" s="2"/>
      <c r="N2" s="2"/>
      <c r="O2" s="2"/>
      <c r="P2" s="2"/>
      <c r="Q2" s="2"/>
      <c r="S2" s="2"/>
      <c r="T2" s="2"/>
      <c r="U2" s="2"/>
      <c r="V2" s="2"/>
      <c r="W2" s="2"/>
      <c r="X2" s="2"/>
      <c r="Y2" s="2"/>
      <c r="Z2" s="2"/>
    </row>
    <row r="4" spans="1:29" s="3" customFormat="1" ht="50.25" customHeight="1">
      <c r="A4" s="37" t="s">
        <v>0</v>
      </c>
      <c r="B4" s="37" t="s">
        <v>1</v>
      </c>
      <c r="C4" s="39" t="s">
        <v>71</v>
      </c>
      <c r="D4" s="40"/>
      <c r="E4" s="40"/>
      <c r="F4" s="40"/>
      <c r="G4" s="40"/>
      <c r="H4" s="39" t="s">
        <v>72</v>
      </c>
      <c r="I4" s="40"/>
      <c r="J4" s="40"/>
      <c r="K4" s="40"/>
      <c r="L4" s="40"/>
      <c r="M4" s="42" t="s">
        <v>73</v>
      </c>
      <c r="N4" s="42"/>
      <c r="O4" s="42"/>
      <c r="P4" s="42"/>
      <c r="Q4" s="42"/>
      <c r="R4" s="44" t="s">
        <v>74</v>
      </c>
      <c r="S4" s="42" t="s">
        <v>44</v>
      </c>
      <c r="T4" s="42"/>
      <c r="U4" s="44" t="s">
        <v>75</v>
      </c>
      <c r="V4" s="42" t="s">
        <v>44</v>
      </c>
      <c r="W4" s="42"/>
      <c r="X4" s="44" t="s">
        <v>76</v>
      </c>
      <c r="Y4" s="42" t="s">
        <v>44</v>
      </c>
      <c r="Z4" s="42"/>
      <c r="AA4" s="42" t="s">
        <v>61</v>
      </c>
      <c r="AB4" s="42" t="s">
        <v>63</v>
      </c>
      <c r="AC4" s="42" t="s">
        <v>62</v>
      </c>
    </row>
    <row r="5" spans="1:29" ht="68.25" customHeight="1">
      <c r="A5" s="37"/>
      <c r="B5" s="37"/>
      <c r="C5" s="38" t="s">
        <v>34</v>
      </c>
      <c r="D5" s="38" t="s">
        <v>65</v>
      </c>
      <c r="E5" s="41" t="s">
        <v>33</v>
      </c>
      <c r="F5" s="41" t="s">
        <v>66</v>
      </c>
      <c r="G5" s="42" t="s">
        <v>64</v>
      </c>
      <c r="H5" s="38" t="s">
        <v>39</v>
      </c>
      <c r="I5" s="38" t="s">
        <v>68</v>
      </c>
      <c r="J5" s="41" t="s">
        <v>36</v>
      </c>
      <c r="K5" s="41" t="s">
        <v>66</v>
      </c>
      <c r="L5" s="42" t="s">
        <v>67</v>
      </c>
      <c r="M5" s="38" t="s">
        <v>40</v>
      </c>
      <c r="N5" s="38" t="s">
        <v>70</v>
      </c>
      <c r="O5" s="41" t="s">
        <v>33</v>
      </c>
      <c r="P5" s="41" t="s">
        <v>66</v>
      </c>
      <c r="Q5" s="42" t="s">
        <v>69</v>
      </c>
      <c r="R5" s="45"/>
      <c r="S5" s="39" t="s">
        <v>42</v>
      </c>
      <c r="T5" s="43" t="s">
        <v>43</v>
      </c>
      <c r="U5" s="45"/>
      <c r="V5" s="39" t="s">
        <v>42</v>
      </c>
      <c r="W5" s="43" t="s">
        <v>43</v>
      </c>
      <c r="X5" s="45"/>
      <c r="Y5" s="39" t="s">
        <v>42</v>
      </c>
      <c r="Z5" s="43" t="s">
        <v>43</v>
      </c>
      <c r="AA5" s="42"/>
      <c r="AB5" s="42"/>
      <c r="AC5" s="42"/>
    </row>
    <row r="6" spans="1:29" ht="161.25" customHeight="1">
      <c r="A6" s="37"/>
      <c r="B6" s="37"/>
      <c r="C6" s="38"/>
      <c r="D6" s="38"/>
      <c r="E6" s="41"/>
      <c r="F6" s="41"/>
      <c r="G6" s="42"/>
      <c r="H6" s="38"/>
      <c r="I6" s="38"/>
      <c r="J6" s="41"/>
      <c r="K6" s="41"/>
      <c r="L6" s="42"/>
      <c r="M6" s="38"/>
      <c r="N6" s="38"/>
      <c r="O6" s="41"/>
      <c r="P6" s="41"/>
      <c r="Q6" s="42"/>
      <c r="R6" s="46"/>
      <c r="S6" s="39"/>
      <c r="T6" s="43"/>
      <c r="U6" s="46"/>
      <c r="V6" s="39"/>
      <c r="W6" s="43"/>
      <c r="X6" s="46"/>
      <c r="Y6" s="39"/>
      <c r="Z6" s="43"/>
      <c r="AA6" s="42"/>
      <c r="AB6" s="42"/>
      <c r="AC6" s="42"/>
    </row>
    <row r="7" spans="1:29" ht="18" customHeight="1">
      <c r="A7" s="4">
        <v>1</v>
      </c>
      <c r="B7" s="4">
        <f>A7+1</f>
        <v>2</v>
      </c>
      <c r="C7" s="4">
        <v>3</v>
      </c>
      <c r="D7" s="4">
        <v>4</v>
      </c>
      <c r="E7" s="4">
        <v>5</v>
      </c>
      <c r="F7" s="4">
        <v>6</v>
      </c>
      <c r="G7" s="4" t="s">
        <v>35</v>
      </c>
      <c r="H7" s="4">
        <v>8</v>
      </c>
      <c r="I7" s="4">
        <v>9</v>
      </c>
      <c r="J7" s="4">
        <v>10</v>
      </c>
      <c r="K7" s="24">
        <v>11</v>
      </c>
      <c r="L7" s="4" t="s">
        <v>37</v>
      </c>
      <c r="M7" s="4">
        <v>13</v>
      </c>
      <c r="N7" s="4">
        <v>14</v>
      </c>
      <c r="O7" s="4">
        <v>15</v>
      </c>
      <c r="P7" s="4">
        <v>16</v>
      </c>
      <c r="Q7" s="4" t="s">
        <v>38</v>
      </c>
      <c r="R7" s="4" t="s">
        <v>41</v>
      </c>
      <c r="S7" s="4" t="s">
        <v>45</v>
      </c>
      <c r="T7" s="4" t="s">
        <v>46</v>
      </c>
      <c r="U7" s="4">
        <v>21</v>
      </c>
      <c r="V7" s="4" t="s">
        <v>47</v>
      </c>
      <c r="W7" s="4" t="s">
        <v>48</v>
      </c>
      <c r="X7" s="4">
        <v>24</v>
      </c>
      <c r="Y7" s="5" t="s">
        <v>49</v>
      </c>
      <c r="Z7" s="5" t="s">
        <v>50</v>
      </c>
      <c r="AA7" s="4">
        <v>27</v>
      </c>
      <c r="AB7" s="4">
        <v>28</v>
      </c>
      <c r="AC7" s="6">
        <v>29</v>
      </c>
    </row>
    <row r="8" spans="1:29" s="3" customFormat="1">
      <c r="A8" s="7">
        <v>1</v>
      </c>
      <c r="B8" s="8" t="s">
        <v>5</v>
      </c>
      <c r="C8" s="29">
        <v>3000</v>
      </c>
      <c r="D8" s="29">
        <f>13+52</f>
        <v>65</v>
      </c>
      <c r="E8" s="29">
        <v>12</v>
      </c>
      <c r="F8" s="21">
        <v>1.018</v>
      </c>
      <c r="G8" s="23">
        <f>C8*D8*E8*F8</f>
        <v>2382120</v>
      </c>
      <c r="H8" s="29">
        <v>2500</v>
      </c>
      <c r="I8" s="29">
        <v>5</v>
      </c>
      <c r="J8" s="29">
        <v>12</v>
      </c>
      <c r="K8" s="21">
        <v>1.018</v>
      </c>
      <c r="L8" s="23">
        <f>H8*I8*J8*K8</f>
        <v>152700</v>
      </c>
      <c r="M8" s="29">
        <v>2200</v>
      </c>
      <c r="N8" s="29">
        <v>0</v>
      </c>
      <c r="O8" s="29">
        <v>12</v>
      </c>
      <c r="P8" s="21">
        <v>1.018</v>
      </c>
      <c r="Q8" s="23">
        <f>M8*N8*O8*P8</f>
        <v>0</v>
      </c>
      <c r="R8" s="25">
        <f>ROUND(G8+L8+Q8,0)</f>
        <v>2534820</v>
      </c>
      <c r="S8" s="9">
        <f>ROUND(R8*95/100,0)</f>
        <v>2408079</v>
      </c>
      <c r="T8" s="9">
        <f>ROUND(R8*5/100,0)</f>
        <v>126741</v>
      </c>
      <c r="U8" s="25">
        <f>R8</f>
        <v>2534820</v>
      </c>
      <c r="V8" s="9">
        <f>S8</f>
        <v>2408079</v>
      </c>
      <c r="W8" s="9">
        <f>T8</f>
        <v>126741</v>
      </c>
      <c r="X8" s="25">
        <f>R8</f>
        <v>2534820</v>
      </c>
      <c r="Y8" s="9">
        <f>S8</f>
        <v>2408079</v>
      </c>
      <c r="Z8" s="9">
        <f>T8</f>
        <v>126741</v>
      </c>
      <c r="AA8" s="9">
        <f>ROUND(S8*$AA$40,0)</f>
        <v>1479953</v>
      </c>
      <c r="AB8" s="9">
        <f>ROUND(V8*$AA$41,0)</f>
        <v>1479953</v>
      </c>
      <c r="AC8" s="9">
        <f>AB8</f>
        <v>1479953</v>
      </c>
    </row>
    <row r="9" spans="1:29" s="3" customFormat="1">
      <c r="A9" s="7">
        <v>2</v>
      </c>
      <c r="B9" s="8" t="s">
        <v>6</v>
      </c>
      <c r="C9" s="29">
        <v>3000</v>
      </c>
      <c r="D9" s="29">
        <f>2+23</f>
        <v>25</v>
      </c>
      <c r="E9" s="29">
        <v>12</v>
      </c>
      <c r="F9" s="21">
        <v>1.018</v>
      </c>
      <c r="G9" s="23">
        <f t="shared" ref="G9:G35" si="0">C9*D9*E9*F9</f>
        <v>916200</v>
      </c>
      <c r="H9" s="29">
        <v>2500</v>
      </c>
      <c r="I9" s="29">
        <v>2</v>
      </c>
      <c r="J9" s="29">
        <v>12</v>
      </c>
      <c r="K9" s="21">
        <v>1.018</v>
      </c>
      <c r="L9" s="23">
        <f t="shared" ref="L9:L35" si="1">H9*I9*J9*K9</f>
        <v>61080</v>
      </c>
      <c r="M9" s="29">
        <v>2200</v>
      </c>
      <c r="N9" s="29">
        <v>0</v>
      </c>
      <c r="O9" s="29">
        <v>12</v>
      </c>
      <c r="P9" s="21">
        <v>1.018</v>
      </c>
      <c r="Q9" s="23">
        <f t="shared" ref="Q9:Q35" si="2">M9*N9*O9*P9</f>
        <v>0</v>
      </c>
      <c r="R9" s="25">
        <f t="shared" ref="R9:R35" si="3">ROUND(G9+L9+Q9,0)</f>
        <v>977280</v>
      </c>
      <c r="S9" s="9">
        <f t="shared" ref="S9:S35" si="4">ROUND(R9*95/100,0)</f>
        <v>928416</v>
      </c>
      <c r="T9" s="9">
        <f t="shared" ref="T9:T35" si="5">ROUND(R9*5/100,0)</f>
        <v>48864</v>
      </c>
      <c r="U9" s="25">
        <f t="shared" ref="U9:U35" si="6">R9</f>
        <v>977280</v>
      </c>
      <c r="V9" s="9">
        <f t="shared" ref="V9:V35" si="7">S9</f>
        <v>928416</v>
      </c>
      <c r="W9" s="9">
        <f t="shared" ref="W9:W35" si="8">T9</f>
        <v>48864</v>
      </c>
      <c r="X9" s="25">
        <f t="shared" ref="X9:X35" si="9">R9</f>
        <v>977280</v>
      </c>
      <c r="Y9" s="9">
        <f t="shared" ref="Y9:Y35" si="10">S9</f>
        <v>928416</v>
      </c>
      <c r="Z9" s="9">
        <f t="shared" ref="Z9:Z35" si="11">T9</f>
        <v>48864</v>
      </c>
      <c r="AA9" s="9">
        <f t="shared" ref="AA9:AA35" si="12">ROUND(S9*$AA$40,0)</f>
        <v>570584</v>
      </c>
      <c r="AB9" s="9">
        <f t="shared" ref="AB9:AB35" si="13">ROUND(V9*$AA$41,0)</f>
        <v>570584</v>
      </c>
      <c r="AC9" s="9">
        <f t="shared" ref="AC9:AC35" si="14">AB9</f>
        <v>570584</v>
      </c>
    </row>
    <row r="10" spans="1:29" s="3" customFormat="1">
      <c r="A10" s="7">
        <v>3</v>
      </c>
      <c r="B10" s="8" t="s">
        <v>7</v>
      </c>
      <c r="C10" s="29">
        <v>3000</v>
      </c>
      <c r="D10" s="29">
        <f>15+134</f>
        <v>149</v>
      </c>
      <c r="E10" s="29">
        <v>12</v>
      </c>
      <c r="F10" s="21">
        <v>1.018</v>
      </c>
      <c r="G10" s="23">
        <f t="shared" si="0"/>
        <v>5460552</v>
      </c>
      <c r="H10" s="29">
        <v>2500</v>
      </c>
      <c r="I10" s="29">
        <v>10</v>
      </c>
      <c r="J10" s="29">
        <v>12</v>
      </c>
      <c r="K10" s="21">
        <v>1.018</v>
      </c>
      <c r="L10" s="23">
        <f t="shared" si="1"/>
        <v>305400</v>
      </c>
      <c r="M10" s="29">
        <v>2200</v>
      </c>
      <c r="N10" s="29">
        <v>0</v>
      </c>
      <c r="O10" s="29">
        <v>12</v>
      </c>
      <c r="P10" s="21">
        <v>1.018</v>
      </c>
      <c r="Q10" s="23">
        <f t="shared" si="2"/>
        <v>0</v>
      </c>
      <c r="R10" s="25">
        <f t="shared" si="3"/>
        <v>5765952</v>
      </c>
      <c r="S10" s="9">
        <f t="shared" si="4"/>
        <v>5477654</v>
      </c>
      <c r="T10" s="9">
        <f t="shared" si="5"/>
        <v>288298</v>
      </c>
      <c r="U10" s="25">
        <f t="shared" si="6"/>
        <v>5765952</v>
      </c>
      <c r="V10" s="9">
        <f t="shared" si="7"/>
        <v>5477654</v>
      </c>
      <c r="W10" s="9">
        <f t="shared" si="8"/>
        <v>288298</v>
      </c>
      <c r="X10" s="25">
        <f t="shared" si="9"/>
        <v>5765952</v>
      </c>
      <c r="Y10" s="9">
        <f t="shared" si="10"/>
        <v>5477654</v>
      </c>
      <c r="Z10" s="9">
        <f t="shared" si="11"/>
        <v>288298</v>
      </c>
      <c r="AA10" s="9">
        <f t="shared" si="12"/>
        <v>3366448</v>
      </c>
      <c r="AB10" s="9">
        <f t="shared" si="13"/>
        <v>3366448</v>
      </c>
      <c r="AC10" s="9">
        <f t="shared" si="14"/>
        <v>3366448</v>
      </c>
    </row>
    <row r="11" spans="1:29" s="3" customFormat="1">
      <c r="A11" s="7">
        <v>4</v>
      </c>
      <c r="B11" s="8" t="s">
        <v>8</v>
      </c>
      <c r="C11" s="29">
        <v>3000</v>
      </c>
      <c r="D11" s="29">
        <f>2+31</f>
        <v>33</v>
      </c>
      <c r="E11" s="29">
        <v>12</v>
      </c>
      <c r="F11" s="21">
        <v>1.018</v>
      </c>
      <c r="G11" s="23">
        <f t="shared" si="0"/>
        <v>1209384</v>
      </c>
      <c r="H11" s="29">
        <v>2500</v>
      </c>
      <c r="I11" s="29">
        <v>2</v>
      </c>
      <c r="J11" s="29">
        <v>12</v>
      </c>
      <c r="K11" s="21">
        <v>1.018</v>
      </c>
      <c r="L11" s="23">
        <f t="shared" si="1"/>
        <v>61080</v>
      </c>
      <c r="M11" s="29">
        <v>2200</v>
      </c>
      <c r="N11" s="29">
        <v>0</v>
      </c>
      <c r="O11" s="29">
        <v>12</v>
      </c>
      <c r="P11" s="21">
        <v>1.018</v>
      </c>
      <c r="Q11" s="23">
        <f t="shared" si="2"/>
        <v>0</v>
      </c>
      <c r="R11" s="25">
        <f t="shared" si="3"/>
        <v>1270464</v>
      </c>
      <c r="S11" s="9">
        <f t="shared" si="4"/>
        <v>1206941</v>
      </c>
      <c r="T11" s="9">
        <f t="shared" si="5"/>
        <v>63523</v>
      </c>
      <c r="U11" s="25">
        <f t="shared" si="6"/>
        <v>1270464</v>
      </c>
      <c r="V11" s="9">
        <f t="shared" si="7"/>
        <v>1206941</v>
      </c>
      <c r="W11" s="9">
        <f t="shared" si="8"/>
        <v>63523</v>
      </c>
      <c r="X11" s="25">
        <f t="shared" si="9"/>
        <v>1270464</v>
      </c>
      <c r="Y11" s="9">
        <f t="shared" si="10"/>
        <v>1206941</v>
      </c>
      <c r="Z11" s="9">
        <f t="shared" si="11"/>
        <v>63523</v>
      </c>
      <c r="AA11" s="9">
        <f t="shared" si="12"/>
        <v>741760</v>
      </c>
      <c r="AB11" s="9">
        <f t="shared" si="13"/>
        <v>741760</v>
      </c>
      <c r="AC11" s="9">
        <f t="shared" si="14"/>
        <v>741760</v>
      </c>
    </row>
    <row r="12" spans="1:29" s="3" customFormat="1">
      <c r="A12" s="7">
        <v>5</v>
      </c>
      <c r="B12" s="10" t="s">
        <v>9</v>
      </c>
      <c r="C12" s="29">
        <v>3000</v>
      </c>
      <c r="D12" s="29">
        <f>2+3</f>
        <v>5</v>
      </c>
      <c r="E12" s="29">
        <v>12</v>
      </c>
      <c r="F12" s="21">
        <v>1.018</v>
      </c>
      <c r="G12" s="23">
        <f t="shared" si="0"/>
        <v>183240</v>
      </c>
      <c r="H12" s="29">
        <v>2500</v>
      </c>
      <c r="I12" s="29">
        <v>0</v>
      </c>
      <c r="J12" s="29">
        <v>12</v>
      </c>
      <c r="K12" s="21">
        <v>1.018</v>
      </c>
      <c r="L12" s="23">
        <f t="shared" si="1"/>
        <v>0</v>
      </c>
      <c r="M12" s="29">
        <v>2200</v>
      </c>
      <c r="N12" s="29">
        <v>0</v>
      </c>
      <c r="O12" s="29">
        <v>12</v>
      </c>
      <c r="P12" s="21">
        <v>1.018</v>
      </c>
      <c r="Q12" s="23">
        <f t="shared" si="2"/>
        <v>0</v>
      </c>
      <c r="R12" s="25">
        <f t="shared" si="3"/>
        <v>183240</v>
      </c>
      <c r="S12" s="9">
        <f t="shared" si="4"/>
        <v>174078</v>
      </c>
      <c r="T12" s="9">
        <f t="shared" si="5"/>
        <v>9162</v>
      </c>
      <c r="U12" s="25">
        <f t="shared" si="6"/>
        <v>183240</v>
      </c>
      <c r="V12" s="9">
        <f t="shared" si="7"/>
        <v>174078</v>
      </c>
      <c r="W12" s="9">
        <f t="shared" si="8"/>
        <v>9162</v>
      </c>
      <c r="X12" s="25">
        <f t="shared" si="9"/>
        <v>183240</v>
      </c>
      <c r="Y12" s="9">
        <f t="shared" si="10"/>
        <v>174078</v>
      </c>
      <c r="Z12" s="9">
        <f t="shared" si="11"/>
        <v>9162</v>
      </c>
      <c r="AA12" s="9">
        <f t="shared" si="12"/>
        <v>106985</v>
      </c>
      <c r="AB12" s="9">
        <f t="shared" si="13"/>
        <v>106985</v>
      </c>
      <c r="AC12" s="9">
        <f t="shared" si="14"/>
        <v>106985</v>
      </c>
    </row>
    <row r="13" spans="1:29" s="3" customFormat="1">
      <c r="A13" s="7">
        <v>6</v>
      </c>
      <c r="B13" s="10" t="s">
        <v>10</v>
      </c>
      <c r="C13" s="29">
        <v>3000</v>
      </c>
      <c r="D13" s="29">
        <f>8+54</f>
        <v>62</v>
      </c>
      <c r="E13" s="29">
        <v>12</v>
      </c>
      <c r="F13" s="21">
        <v>1.018</v>
      </c>
      <c r="G13" s="23">
        <f t="shared" si="0"/>
        <v>2272176</v>
      </c>
      <c r="H13" s="29">
        <v>2500</v>
      </c>
      <c r="I13" s="29">
        <v>6</v>
      </c>
      <c r="J13" s="29">
        <v>12</v>
      </c>
      <c r="K13" s="21">
        <v>1.018</v>
      </c>
      <c r="L13" s="23">
        <f t="shared" si="1"/>
        <v>183240</v>
      </c>
      <c r="M13" s="29">
        <v>2200</v>
      </c>
      <c r="N13" s="29">
        <v>0</v>
      </c>
      <c r="O13" s="29">
        <v>12</v>
      </c>
      <c r="P13" s="21">
        <v>1.018</v>
      </c>
      <c r="Q13" s="23">
        <f t="shared" si="2"/>
        <v>0</v>
      </c>
      <c r="R13" s="25">
        <f t="shared" si="3"/>
        <v>2455416</v>
      </c>
      <c r="S13" s="9">
        <f t="shared" si="4"/>
        <v>2332645</v>
      </c>
      <c r="T13" s="9">
        <f t="shared" si="5"/>
        <v>122771</v>
      </c>
      <c r="U13" s="25">
        <f t="shared" si="6"/>
        <v>2455416</v>
      </c>
      <c r="V13" s="9">
        <f t="shared" si="7"/>
        <v>2332645</v>
      </c>
      <c r="W13" s="9">
        <f t="shared" si="8"/>
        <v>122771</v>
      </c>
      <c r="X13" s="25">
        <f t="shared" si="9"/>
        <v>2455416</v>
      </c>
      <c r="Y13" s="9">
        <f t="shared" si="10"/>
        <v>2332645</v>
      </c>
      <c r="Z13" s="9">
        <f t="shared" si="11"/>
        <v>122771</v>
      </c>
      <c r="AA13" s="9">
        <f t="shared" si="12"/>
        <v>1433593</v>
      </c>
      <c r="AB13" s="9">
        <f t="shared" si="13"/>
        <v>1433593</v>
      </c>
      <c r="AC13" s="9">
        <f t="shared" si="14"/>
        <v>1433593</v>
      </c>
    </row>
    <row r="14" spans="1:29" s="3" customFormat="1">
      <c r="A14" s="7">
        <v>7</v>
      </c>
      <c r="B14" s="10" t="s">
        <v>11</v>
      </c>
      <c r="C14" s="29">
        <v>3000</v>
      </c>
      <c r="D14" s="29">
        <f>6+99</f>
        <v>105</v>
      </c>
      <c r="E14" s="29">
        <v>12</v>
      </c>
      <c r="F14" s="21">
        <v>1.018</v>
      </c>
      <c r="G14" s="23">
        <f t="shared" si="0"/>
        <v>3848040</v>
      </c>
      <c r="H14" s="29">
        <v>2500</v>
      </c>
      <c r="I14" s="29">
        <v>6</v>
      </c>
      <c r="J14" s="29">
        <v>12</v>
      </c>
      <c r="K14" s="21">
        <v>1.018</v>
      </c>
      <c r="L14" s="23">
        <f t="shared" si="1"/>
        <v>183240</v>
      </c>
      <c r="M14" s="29">
        <v>2200</v>
      </c>
      <c r="N14" s="29">
        <v>0</v>
      </c>
      <c r="O14" s="29">
        <v>12</v>
      </c>
      <c r="P14" s="21">
        <v>1.018</v>
      </c>
      <c r="Q14" s="23">
        <f t="shared" si="2"/>
        <v>0</v>
      </c>
      <c r="R14" s="25">
        <f t="shared" si="3"/>
        <v>4031280</v>
      </c>
      <c r="S14" s="9">
        <f t="shared" si="4"/>
        <v>3829716</v>
      </c>
      <c r="T14" s="9">
        <f t="shared" si="5"/>
        <v>201564</v>
      </c>
      <c r="U14" s="25">
        <f t="shared" si="6"/>
        <v>4031280</v>
      </c>
      <c r="V14" s="9">
        <f t="shared" si="7"/>
        <v>3829716</v>
      </c>
      <c r="W14" s="9">
        <f t="shared" si="8"/>
        <v>201564</v>
      </c>
      <c r="X14" s="25">
        <f t="shared" si="9"/>
        <v>4031280</v>
      </c>
      <c r="Y14" s="9">
        <f t="shared" si="10"/>
        <v>3829716</v>
      </c>
      <c r="Z14" s="9">
        <f t="shared" si="11"/>
        <v>201564</v>
      </c>
      <c r="AA14" s="9">
        <f t="shared" si="12"/>
        <v>2353661</v>
      </c>
      <c r="AB14" s="9">
        <f t="shared" si="13"/>
        <v>2353661</v>
      </c>
      <c r="AC14" s="9">
        <f t="shared" si="14"/>
        <v>2353661</v>
      </c>
    </row>
    <row r="15" spans="1:29" s="3" customFormat="1">
      <c r="A15" s="7">
        <v>8</v>
      </c>
      <c r="B15" s="10" t="s">
        <v>12</v>
      </c>
      <c r="C15" s="29">
        <v>3000</v>
      </c>
      <c r="D15" s="29">
        <f>6+37</f>
        <v>43</v>
      </c>
      <c r="E15" s="29">
        <v>12</v>
      </c>
      <c r="F15" s="21">
        <v>1.018</v>
      </c>
      <c r="G15" s="23">
        <f t="shared" si="0"/>
        <v>1575864</v>
      </c>
      <c r="H15" s="29">
        <v>2500</v>
      </c>
      <c r="I15" s="29">
        <v>4</v>
      </c>
      <c r="J15" s="29">
        <v>12</v>
      </c>
      <c r="K15" s="21">
        <v>1.018</v>
      </c>
      <c r="L15" s="23">
        <f t="shared" si="1"/>
        <v>122160</v>
      </c>
      <c r="M15" s="29">
        <v>2200</v>
      </c>
      <c r="N15" s="29">
        <v>0</v>
      </c>
      <c r="O15" s="29">
        <v>12</v>
      </c>
      <c r="P15" s="21">
        <v>1.018</v>
      </c>
      <c r="Q15" s="23">
        <f t="shared" si="2"/>
        <v>0</v>
      </c>
      <c r="R15" s="25">
        <f t="shared" si="3"/>
        <v>1698024</v>
      </c>
      <c r="S15" s="9">
        <f t="shared" si="4"/>
        <v>1613123</v>
      </c>
      <c r="T15" s="9">
        <f t="shared" si="5"/>
        <v>84901</v>
      </c>
      <c r="U15" s="25">
        <f t="shared" si="6"/>
        <v>1698024</v>
      </c>
      <c r="V15" s="9">
        <f t="shared" si="7"/>
        <v>1613123</v>
      </c>
      <c r="W15" s="9">
        <f t="shared" si="8"/>
        <v>84901</v>
      </c>
      <c r="X15" s="25">
        <f t="shared" si="9"/>
        <v>1698024</v>
      </c>
      <c r="Y15" s="9">
        <f t="shared" si="10"/>
        <v>1613123</v>
      </c>
      <c r="Z15" s="9">
        <f t="shared" si="11"/>
        <v>84901</v>
      </c>
      <c r="AA15" s="9">
        <f t="shared" si="12"/>
        <v>991390</v>
      </c>
      <c r="AB15" s="9">
        <f t="shared" si="13"/>
        <v>991390</v>
      </c>
      <c r="AC15" s="9">
        <f t="shared" si="14"/>
        <v>991390</v>
      </c>
    </row>
    <row r="16" spans="1:29" s="3" customFormat="1">
      <c r="A16" s="7">
        <v>9</v>
      </c>
      <c r="B16" s="10" t="s">
        <v>13</v>
      </c>
      <c r="C16" s="29">
        <v>3000</v>
      </c>
      <c r="D16" s="29">
        <f>1+17</f>
        <v>18</v>
      </c>
      <c r="E16" s="29">
        <v>12</v>
      </c>
      <c r="F16" s="21">
        <v>1.018</v>
      </c>
      <c r="G16" s="23">
        <f t="shared" si="0"/>
        <v>659664</v>
      </c>
      <c r="H16" s="29">
        <v>2500</v>
      </c>
      <c r="I16" s="29">
        <v>2</v>
      </c>
      <c r="J16" s="29">
        <v>12</v>
      </c>
      <c r="K16" s="21">
        <v>1.018</v>
      </c>
      <c r="L16" s="23">
        <f t="shared" si="1"/>
        <v>61080</v>
      </c>
      <c r="M16" s="29">
        <v>2200</v>
      </c>
      <c r="N16" s="29">
        <v>0</v>
      </c>
      <c r="O16" s="29">
        <v>12</v>
      </c>
      <c r="P16" s="21">
        <v>1.018</v>
      </c>
      <c r="Q16" s="23">
        <f t="shared" si="2"/>
        <v>0</v>
      </c>
      <c r="R16" s="25">
        <f t="shared" si="3"/>
        <v>720744</v>
      </c>
      <c r="S16" s="9">
        <f t="shared" si="4"/>
        <v>684707</v>
      </c>
      <c r="T16" s="9">
        <f t="shared" si="5"/>
        <v>36037</v>
      </c>
      <c r="U16" s="25">
        <f t="shared" si="6"/>
        <v>720744</v>
      </c>
      <c r="V16" s="9">
        <f t="shared" si="7"/>
        <v>684707</v>
      </c>
      <c r="W16" s="9">
        <f t="shared" si="8"/>
        <v>36037</v>
      </c>
      <c r="X16" s="25">
        <f t="shared" si="9"/>
        <v>720744</v>
      </c>
      <c r="Y16" s="9">
        <f t="shared" si="10"/>
        <v>684707</v>
      </c>
      <c r="Z16" s="9">
        <f t="shared" si="11"/>
        <v>36037</v>
      </c>
      <c r="AA16" s="9">
        <f t="shared" si="12"/>
        <v>420806</v>
      </c>
      <c r="AB16" s="9">
        <f t="shared" si="13"/>
        <v>420806</v>
      </c>
      <c r="AC16" s="9">
        <f t="shared" si="14"/>
        <v>420806</v>
      </c>
    </row>
    <row r="17" spans="1:29" s="3" customFormat="1">
      <c r="A17" s="7">
        <v>10</v>
      </c>
      <c r="B17" s="10" t="s">
        <v>14</v>
      </c>
      <c r="C17" s="29">
        <v>3000</v>
      </c>
      <c r="D17" s="29">
        <f>10+99</f>
        <v>109</v>
      </c>
      <c r="E17" s="29">
        <v>12</v>
      </c>
      <c r="F17" s="21">
        <v>1.018</v>
      </c>
      <c r="G17" s="23">
        <f t="shared" si="0"/>
        <v>3994632</v>
      </c>
      <c r="H17" s="29">
        <v>2500</v>
      </c>
      <c r="I17" s="29">
        <v>5</v>
      </c>
      <c r="J17" s="29">
        <v>12</v>
      </c>
      <c r="K17" s="21">
        <v>1.018</v>
      </c>
      <c r="L17" s="23">
        <f t="shared" si="1"/>
        <v>152700</v>
      </c>
      <c r="M17" s="29">
        <v>2200</v>
      </c>
      <c r="N17" s="29">
        <v>0</v>
      </c>
      <c r="O17" s="29">
        <v>12</v>
      </c>
      <c r="P17" s="21">
        <v>1.018</v>
      </c>
      <c r="Q17" s="23">
        <f t="shared" si="2"/>
        <v>0</v>
      </c>
      <c r="R17" s="25">
        <f t="shared" si="3"/>
        <v>4147332</v>
      </c>
      <c r="S17" s="9">
        <f t="shared" si="4"/>
        <v>3939965</v>
      </c>
      <c r="T17" s="9">
        <f t="shared" si="5"/>
        <v>207367</v>
      </c>
      <c r="U17" s="25">
        <f t="shared" si="6"/>
        <v>4147332</v>
      </c>
      <c r="V17" s="9">
        <f t="shared" si="7"/>
        <v>3939965</v>
      </c>
      <c r="W17" s="9">
        <f t="shared" si="8"/>
        <v>207367</v>
      </c>
      <c r="X17" s="25">
        <f t="shared" si="9"/>
        <v>4147332</v>
      </c>
      <c r="Y17" s="9">
        <f t="shared" si="10"/>
        <v>3939965</v>
      </c>
      <c r="Z17" s="9">
        <f t="shared" si="11"/>
        <v>207367</v>
      </c>
      <c r="AA17" s="9">
        <f t="shared" si="12"/>
        <v>2421417</v>
      </c>
      <c r="AB17" s="9">
        <f t="shared" si="13"/>
        <v>2421417</v>
      </c>
      <c r="AC17" s="9">
        <f t="shared" si="14"/>
        <v>2421417</v>
      </c>
    </row>
    <row r="18" spans="1:29" s="3" customFormat="1">
      <c r="A18" s="7">
        <v>11</v>
      </c>
      <c r="B18" s="10" t="s">
        <v>15</v>
      </c>
      <c r="C18" s="29">
        <v>3000</v>
      </c>
      <c r="D18" s="29">
        <f>8+88</f>
        <v>96</v>
      </c>
      <c r="E18" s="29">
        <v>12</v>
      </c>
      <c r="F18" s="21">
        <v>1.018</v>
      </c>
      <c r="G18" s="23">
        <f t="shared" si="0"/>
        <v>3518208</v>
      </c>
      <c r="H18" s="29">
        <v>2500</v>
      </c>
      <c r="I18" s="29">
        <v>7</v>
      </c>
      <c r="J18" s="29">
        <v>12</v>
      </c>
      <c r="K18" s="21">
        <v>1.018</v>
      </c>
      <c r="L18" s="23">
        <f t="shared" si="1"/>
        <v>213780</v>
      </c>
      <c r="M18" s="29">
        <v>2200</v>
      </c>
      <c r="N18" s="29">
        <v>0</v>
      </c>
      <c r="O18" s="29">
        <v>12</v>
      </c>
      <c r="P18" s="21">
        <v>1.018</v>
      </c>
      <c r="Q18" s="23">
        <f t="shared" si="2"/>
        <v>0</v>
      </c>
      <c r="R18" s="25">
        <f t="shared" si="3"/>
        <v>3731988</v>
      </c>
      <c r="S18" s="9">
        <f>ROUND(R18*95/100,0)-1</f>
        <v>3545388</v>
      </c>
      <c r="T18" s="9">
        <f>ROUND(R18*5/100,0)+1</f>
        <v>186600</v>
      </c>
      <c r="U18" s="25">
        <f t="shared" si="6"/>
        <v>3731988</v>
      </c>
      <c r="V18" s="9">
        <f t="shared" si="7"/>
        <v>3545388</v>
      </c>
      <c r="W18" s="9">
        <f t="shared" si="8"/>
        <v>186600</v>
      </c>
      <c r="X18" s="25">
        <f t="shared" si="9"/>
        <v>3731988</v>
      </c>
      <c r="Y18" s="9">
        <f t="shared" si="10"/>
        <v>3545388</v>
      </c>
      <c r="Z18" s="9">
        <f t="shared" si="11"/>
        <v>186600</v>
      </c>
      <c r="AA18" s="9">
        <f t="shared" si="12"/>
        <v>2178919</v>
      </c>
      <c r="AB18" s="9">
        <f t="shared" si="13"/>
        <v>2178919</v>
      </c>
      <c r="AC18" s="9">
        <f t="shared" si="14"/>
        <v>2178919</v>
      </c>
    </row>
    <row r="19" spans="1:29" s="3" customFormat="1">
      <c r="A19" s="7">
        <v>12</v>
      </c>
      <c r="B19" s="10" t="s">
        <v>16</v>
      </c>
      <c r="C19" s="29">
        <v>3000</v>
      </c>
      <c r="D19" s="29">
        <f>3+50</f>
        <v>53</v>
      </c>
      <c r="E19" s="29">
        <v>12</v>
      </c>
      <c r="F19" s="21">
        <v>1.018</v>
      </c>
      <c r="G19" s="23">
        <f t="shared" si="0"/>
        <v>1942344</v>
      </c>
      <c r="H19" s="29">
        <v>2500</v>
      </c>
      <c r="I19" s="29">
        <v>0</v>
      </c>
      <c r="J19" s="29">
        <v>12</v>
      </c>
      <c r="K19" s="21">
        <v>1.018</v>
      </c>
      <c r="L19" s="23">
        <f t="shared" si="1"/>
        <v>0</v>
      </c>
      <c r="M19" s="29">
        <v>2200</v>
      </c>
      <c r="N19" s="29">
        <v>0</v>
      </c>
      <c r="O19" s="29">
        <v>12</v>
      </c>
      <c r="P19" s="21">
        <v>1.018</v>
      </c>
      <c r="Q19" s="23">
        <f t="shared" si="2"/>
        <v>0</v>
      </c>
      <c r="R19" s="25">
        <f t="shared" si="3"/>
        <v>1942344</v>
      </c>
      <c r="S19" s="9">
        <f t="shared" si="4"/>
        <v>1845227</v>
      </c>
      <c r="T19" s="9">
        <f t="shared" si="5"/>
        <v>97117</v>
      </c>
      <c r="U19" s="25">
        <f t="shared" si="6"/>
        <v>1942344</v>
      </c>
      <c r="V19" s="9">
        <f t="shared" si="7"/>
        <v>1845227</v>
      </c>
      <c r="W19" s="9">
        <f t="shared" si="8"/>
        <v>97117</v>
      </c>
      <c r="X19" s="25">
        <f t="shared" si="9"/>
        <v>1942344</v>
      </c>
      <c r="Y19" s="9">
        <f t="shared" si="10"/>
        <v>1845227</v>
      </c>
      <c r="Z19" s="9">
        <f t="shared" si="11"/>
        <v>97117</v>
      </c>
      <c r="AA19" s="9">
        <f t="shared" si="12"/>
        <v>1134037</v>
      </c>
      <c r="AB19" s="9">
        <f t="shared" si="13"/>
        <v>1134037</v>
      </c>
      <c r="AC19" s="9">
        <f t="shared" si="14"/>
        <v>1134037</v>
      </c>
    </row>
    <row r="20" spans="1:29" s="3" customFormat="1">
      <c r="A20" s="7">
        <v>13</v>
      </c>
      <c r="B20" s="10" t="s">
        <v>17</v>
      </c>
      <c r="C20" s="29">
        <v>3000</v>
      </c>
      <c r="D20" s="29">
        <f>1+7</f>
        <v>8</v>
      </c>
      <c r="E20" s="29">
        <v>12</v>
      </c>
      <c r="F20" s="21">
        <v>1.018</v>
      </c>
      <c r="G20" s="23">
        <f t="shared" si="0"/>
        <v>293184</v>
      </c>
      <c r="H20" s="29">
        <v>2500</v>
      </c>
      <c r="I20" s="29">
        <v>2</v>
      </c>
      <c r="J20" s="29">
        <v>12</v>
      </c>
      <c r="K20" s="21">
        <v>1.018</v>
      </c>
      <c r="L20" s="23">
        <f t="shared" si="1"/>
        <v>61080</v>
      </c>
      <c r="M20" s="29">
        <v>2200</v>
      </c>
      <c r="N20" s="29">
        <v>0</v>
      </c>
      <c r="O20" s="29">
        <v>12</v>
      </c>
      <c r="P20" s="21">
        <v>1.018</v>
      </c>
      <c r="Q20" s="23">
        <f t="shared" si="2"/>
        <v>0</v>
      </c>
      <c r="R20" s="25">
        <f t="shared" si="3"/>
        <v>354264</v>
      </c>
      <c r="S20" s="9">
        <f t="shared" si="4"/>
        <v>336551</v>
      </c>
      <c r="T20" s="9">
        <f t="shared" si="5"/>
        <v>17713</v>
      </c>
      <c r="U20" s="25">
        <f t="shared" si="6"/>
        <v>354264</v>
      </c>
      <c r="V20" s="9">
        <f t="shared" si="7"/>
        <v>336551</v>
      </c>
      <c r="W20" s="9">
        <f t="shared" si="8"/>
        <v>17713</v>
      </c>
      <c r="X20" s="25">
        <f t="shared" si="9"/>
        <v>354264</v>
      </c>
      <c r="Y20" s="9">
        <f t="shared" si="10"/>
        <v>336551</v>
      </c>
      <c r="Z20" s="9">
        <f t="shared" si="11"/>
        <v>17713</v>
      </c>
      <c r="AA20" s="9">
        <f t="shared" si="12"/>
        <v>206837</v>
      </c>
      <c r="AB20" s="9">
        <f t="shared" si="13"/>
        <v>206837</v>
      </c>
      <c r="AC20" s="9">
        <f t="shared" si="14"/>
        <v>206837</v>
      </c>
    </row>
    <row r="21" spans="1:29" s="3" customFormat="1">
      <c r="A21" s="7">
        <v>14</v>
      </c>
      <c r="B21" s="10" t="s">
        <v>18</v>
      </c>
      <c r="C21" s="29">
        <v>3000</v>
      </c>
      <c r="D21" s="29">
        <f>4+42</f>
        <v>46</v>
      </c>
      <c r="E21" s="29">
        <v>12</v>
      </c>
      <c r="F21" s="21">
        <v>1.018</v>
      </c>
      <c r="G21" s="23">
        <f t="shared" si="0"/>
        <v>1685808</v>
      </c>
      <c r="H21" s="29">
        <v>2500</v>
      </c>
      <c r="I21" s="29">
        <v>3</v>
      </c>
      <c r="J21" s="29">
        <v>12</v>
      </c>
      <c r="K21" s="21">
        <v>1.018</v>
      </c>
      <c r="L21" s="23">
        <f t="shared" si="1"/>
        <v>91620</v>
      </c>
      <c r="M21" s="29">
        <v>2200</v>
      </c>
      <c r="N21" s="29">
        <v>0</v>
      </c>
      <c r="O21" s="29">
        <v>12</v>
      </c>
      <c r="P21" s="21">
        <v>1.018</v>
      </c>
      <c r="Q21" s="23">
        <f t="shared" si="2"/>
        <v>0</v>
      </c>
      <c r="R21" s="25">
        <f t="shared" si="3"/>
        <v>1777428</v>
      </c>
      <c r="S21" s="9">
        <f t="shared" si="4"/>
        <v>1688557</v>
      </c>
      <c r="T21" s="9">
        <f t="shared" si="5"/>
        <v>88871</v>
      </c>
      <c r="U21" s="25">
        <f t="shared" si="6"/>
        <v>1777428</v>
      </c>
      <c r="V21" s="9">
        <f t="shared" si="7"/>
        <v>1688557</v>
      </c>
      <c r="W21" s="9">
        <f t="shared" si="8"/>
        <v>88871</v>
      </c>
      <c r="X21" s="25">
        <f t="shared" si="9"/>
        <v>1777428</v>
      </c>
      <c r="Y21" s="9">
        <f t="shared" si="10"/>
        <v>1688557</v>
      </c>
      <c r="Z21" s="9">
        <f t="shared" si="11"/>
        <v>88871</v>
      </c>
      <c r="AA21" s="9">
        <f t="shared" si="12"/>
        <v>1037751</v>
      </c>
      <c r="AB21" s="9">
        <f t="shared" si="13"/>
        <v>1037751</v>
      </c>
      <c r="AC21" s="9">
        <f t="shared" si="14"/>
        <v>1037751</v>
      </c>
    </row>
    <row r="22" spans="1:29" s="3" customFormat="1">
      <c r="A22" s="7">
        <v>15</v>
      </c>
      <c r="B22" s="10" t="s">
        <v>19</v>
      </c>
      <c r="C22" s="29">
        <v>3000</v>
      </c>
      <c r="D22" s="29">
        <f>4+53</f>
        <v>57</v>
      </c>
      <c r="E22" s="29">
        <v>12</v>
      </c>
      <c r="F22" s="21">
        <v>1.018</v>
      </c>
      <c r="G22" s="23">
        <f t="shared" si="0"/>
        <v>2088936</v>
      </c>
      <c r="H22" s="29">
        <v>2500</v>
      </c>
      <c r="I22" s="29">
        <v>2</v>
      </c>
      <c r="J22" s="29">
        <v>12</v>
      </c>
      <c r="K22" s="21">
        <v>1.018</v>
      </c>
      <c r="L22" s="23">
        <f t="shared" si="1"/>
        <v>61080</v>
      </c>
      <c r="M22" s="29">
        <v>2200</v>
      </c>
      <c r="N22" s="29">
        <v>0</v>
      </c>
      <c r="O22" s="29">
        <v>12</v>
      </c>
      <c r="P22" s="21">
        <v>1.018</v>
      </c>
      <c r="Q22" s="23">
        <f t="shared" si="2"/>
        <v>0</v>
      </c>
      <c r="R22" s="25">
        <f t="shared" si="3"/>
        <v>2150016</v>
      </c>
      <c r="S22" s="9">
        <f t="shared" si="4"/>
        <v>2042515</v>
      </c>
      <c r="T22" s="9">
        <f t="shared" si="5"/>
        <v>107501</v>
      </c>
      <c r="U22" s="25">
        <f t="shared" si="6"/>
        <v>2150016</v>
      </c>
      <c r="V22" s="9">
        <f t="shared" si="7"/>
        <v>2042515</v>
      </c>
      <c r="W22" s="9">
        <f t="shared" si="8"/>
        <v>107501</v>
      </c>
      <c r="X22" s="25">
        <f t="shared" si="9"/>
        <v>2150016</v>
      </c>
      <c r="Y22" s="9">
        <f t="shared" si="10"/>
        <v>2042515</v>
      </c>
      <c r="Z22" s="9">
        <f t="shared" si="11"/>
        <v>107501</v>
      </c>
      <c r="AA22" s="9">
        <f t="shared" si="12"/>
        <v>1255285</v>
      </c>
      <c r="AB22" s="9">
        <f t="shared" si="13"/>
        <v>1255285</v>
      </c>
      <c r="AC22" s="9">
        <f t="shared" si="14"/>
        <v>1255285</v>
      </c>
    </row>
    <row r="23" spans="1:29" s="3" customFormat="1">
      <c r="A23" s="7">
        <v>16</v>
      </c>
      <c r="B23" s="10" t="s">
        <v>20</v>
      </c>
      <c r="C23" s="29">
        <v>3000</v>
      </c>
      <c r="D23" s="29">
        <f>8+22</f>
        <v>30</v>
      </c>
      <c r="E23" s="29">
        <v>12</v>
      </c>
      <c r="F23" s="21">
        <v>1.018</v>
      </c>
      <c r="G23" s="23">
        <f t="shared" si="0"/>
        <v>1099440</v>
      </c>
      <c r="H23" s="29">
        <v>2500</v>
      </c>
      <c r="I23" s="29">
        <v>0</v>
      </c>
      <c r="J23" s="29">
        <v>12</v>
      </c>
      <c r="K23" s="21">
        <v>1.018</v>
      </c>
      <c r="L23" s="23">
        <f t="shared" si="1"/>
        <v>0</v>
      </c>
      <c r="M23" s="29">
        <v>2200</v>
      </c>
      <c r="N23" s="29">
        <v>0</v>
      </c>
      <c r="O23" s="29">
        <v>12</v>
      </c>
      <c r="P23" s="21">
        <v>1.018</v>
      </c>
      <c r="Q23" s="23">
        <f t="shared" si="2"/>
        <v>0</v>
      </c>
      <c r="R23" s="25">
        <f t="shared" si="3"/>
        <v>1099440</v>
      </c>
      <c r="S23" s="9">
        <f t="shared" si="4"/>
        <v>1044468</v>
      </c>
      <c r="T23" s="9">
        <f t="shared" si="5"/>
        <v>54972</v>
      </c>
      <c r="U23" s="25">
        <f t="shared" si="6"/>
        <v>1099440</v>
      </c>
      <c r="V23" s="9">
        <f t="shared" si="7"/>
        <v>1044468</v>
      </c>
      <c r="W23" s="9">
        <f t="shared" si="8"/>
        <v>54972</v>
      </c>
      <c r="X23" s="25">
        <f t="shared" si="9"/>
        <v>1099440</v>
      </c>
      <c r="Y23" s="9">
        <f t="shared" si="10"/>
        <v>1044468</v>
      </c>
      <c r="Z23" s="9">
        <f t="shared" si="11"/>
        <v>54972</v>
      </c>
      <c r="AA23" s="9">
        <f t="shared" si="12"/>
        <v>641907</v>
      </c>
      <c r="AB23" s="9">
        <f t="shared" si="13"/>
        <v>641907</v>
      </c>
      <c r="AC23" s="9">
        <f t="shared" si="14"/>
        <v>641907</v>
      </c>
    </row>
    <row r="24" spans="1:29" s="3" customFormat="1">
      <c r="A24" s="7">
        <v>17</v>
      </c>
      <c r="B24" s="10" t="s">
        <v>21</v>
      </c>
      <c r="C24" s="29">
        <v>3000</v>
      </c>
      <c r="D24" s="29">
        <f>7+89</f>
        <v>96</v>
      </c>
      <c r="E24" s="29">
        <v>12</v>
      </c>
      <c r="F24" s="21">
        <v>1.018</v>
      </c>
      <c r="G24" s="23">
        <f t="shared" si="0"/>
        <v>3518208</v>
      </c>
      <c r="H24" s="29">
        <v>2500</v>
      </c>
      <c r="I24" s="29">
        <v>7</v>
      </c>
      <c r="J24" s="29">
        <v>12</v>
      </c>
      <c r="K24" s="21">
        <v>1.018</v>
      </c>
      <c r="L24" s="23">
        <f t="shared" si="1"/>
        <v>213780</v>
      </c>
      <c r="M24" s="29">
        <v>2200</v>
      </c>
      <c r="N24" s="29">
        <v>0</v>
      </c>
      <c r="O24" s="29">
        <v>12</v>
      </c>
      <c r="P24" s="21">
        <v>1.018</v>
      </c>
      <c r="Q24" s="23">
        <f t="shared" si="2"/>
        <v>0</v>
      </c>
      <c r="R24" s="25">
        <f t="shared" si="3"/>
        <v>3731988</v>
      </c>
      <c r="S24" s="9">
        <f>ROUND(R24*95/100,0)</f>
        <v>3545389</v>
      </c>
      <c r="T24" s="9">
        <f>ROUND(R24*5/100,0)</f>
        <v>186599</v>
      </c>
      <c r="U24" s="25">
        <f t="shared" si="6"/>
        <v>3731988</v>
      </c>
      <c r="V24" s="9">
        <f t="shared" si="7"/>
        <v>3545389</v>
      </c>
      <c r="W24" s="9">
        <f t="shared" si="8"/>
        <v>186599</v>
      </c>
      <c r="X24" s="25">
        <f t="shared" si="9"/>
        <v>3731988</v>
      </c>
      <c r="Y24" s="9">
        <f t="shared" si="10"/>
        <v>3545389</v>
      </c>
      <c r="Z24" s="9">
        <f t="shared" si="11"/>
        <v>186599</v>
      </c>
      <c r="AA24" s="9">
        <f t="shared" si="12"/>
        <v>2178919</v>
      </c>
      <c r="AB24" s="9">
        <f t="shared" si="13"/>
        <v>2178919</v>
      </c>
      <c r="AC24" s="9">
        <f t="shared" si="14"/>
        <v>2178919</v>
      </c>
    </row>
    <row r="25" spans="1:29" s="3" customFormat="1">
      <c r="A25" s="7">
        <v>18</v>
      </c>
      <c r="B25" s="10" t="s">
        <v>22</v>
      </c>
      <c r="C25" s="29">
        <v>3000</v>
      </c>
      <c r="D25" s="29">
        <f>2+46</f>
        <v>48</v>
      </c>
      <c r="E25" s="29">
        <v>12</v>
      </c>
      <c r="F25" s="21">
        <v>1.018</v>
      </c>
      <c r="G25" s="23">
        <f t="shared" si="0"/>
        <v>1759104</v>
      </c>
      <c r="H25" s="29">
        <v>2500</v>
      </c>
      <c r="I25" s="29">
        <v>3</v>
      </c>
      <c r="J25" s="29">
        <v>12</v>
      </c>
      <c r="K25" s="21">
        <v>1.018</v>
      </c>
      <c r="L25" s="23">
        <f t="shared" si="1"/>
        <v>91620</v>
      </c>
      <c r="M25" s="29">
        <v>2200</v>
      </c>
      <c r="N25" s="29">
        <v>0</v>
      </c>
      <c r="O25" s="29">
        <v>12</v>
      </c>
      <c r="P25" s="21">
        <v>1.018</v>
      </c>
      <c r="Q25" s="23">
        <f t="shared" si="2"/>
        <v>0</v>
      </c>
      <c r="R25" s="25">
        <f t="shared" si="3"/>
        <v>1850724</v>
      </c>
      <c r="S25" s="9">
        <f t="shared" si="4"/>
        <v>1758188</v>
      </c>
      <c r="T25" s="9">
        <f t="shared" si="5"/>
        <v>92536</v>
      </c>
      <c r="U25" s="25">
        <f t="shared" si="6"/>
        <v>1850724</v>
      </c>
      <c r="V25" s="9">
        <f t="shared" si="7"/>
        <v>1758188</v>
      </c>
      <c r="W25" s="9">
        <f t="shared" si="8"/>
        <v>92536</v>
      </c>
      <c r="X25" s="25">
        <f t="shared" si="9"/>
        <v>1850724</v>
      </c>
      <c r="Y25" s="9">
        <f t="shared" si="10"/>
        <v>1758188</v>
      </c>
      <c r="Z25" s="9">
        <f t="shared" si="11"/>
        <v>92536</v>
      </c>
      <c r="AA25" s="9">
        <f t="shared" si="12"/>
        <v>1080544</v>
      </c>
      <c r="AB25" s="9">
        <f t="shared" si="13"/>
        <v>1080544</v>
      </c>
      <c r="AC25" s="9">
        <f t="shared" si="14"/>
        <v>1080544</v>
      </c>
    </row>
    <row r="26" spans="1:29" s="3" customFormat="1">
      <c r="A26" s="7">
        <v>19</v>
      </c>
      <c r="B26" s="10" t="s">
        <v>23</v>
      </c>
      <c r="C26" s="29">
        <v>3000</v>
      </c>
      <c r="D26" s="29">
        <f>5+68</f>
        <v>73</v>
      </c>
      <c r="E26" s="29">
        <v>12</v>
      </c>
      <c r="F26" s="21">
        <v>1.018</v>
      </c>
      <c r="G26" s="23">
        <f t="shared" si="0"/>
        <v>2675304</v>
      </c>
      <c r="H26" s="29">
        <v>2500</v>
      </c>
      <c r="I26" s="29">
        <v>4</v>
      </c>
      <c r="J26" s="29">
        <v>12</v>
      </c>
      <c r="K26" s="21">
        <v>1.018</v>
      </c>
      <c r="L26" s="23">
        <f t="shared" si="1"/>
        <v>122160</v>
      </c>
      <c r="M26" s="29">
        <v>2200</v>
      </c>
      <c r="N26" s="29">
        <v>0</v>
      </c>
      <c r="O26" s="29">
        <v>12</v>
      </c>
      <c r="P26" s="21">
        <v>1.018</v>
      </c>
      <c r="Q26" s="23">
        <f t="shared" si="2"/>
        <v>0</v>
      </c>
      <c r="R26" s="25">
        <f t="shared" si="3"/>
        <v>2797464</v>
      </c>
      <c r="S26" s="9">
        <f t="shared" si="4"/>
        <v>2657591</v>
      </c>
      <c r="T26" s="9">
        <f t="shared" si="5"/>
        <v>139873</v>
      </c>
      <c r="U26" s="25">
        <f t="shared" si="6"/>
        <v>2797464</v>
      </c>
      <c r="V26" s="9">
        <f t="shared" si="7"/>
        <v>2657591</v>
      </c>
      <c r="W26" s="9">
        <f t="shared" si="8"/>
        <v>139873</v>
      </c>
      <c r="X26" s="25">
        <f t="shared" si="9"/>
        <v>2797464</v>
      </c>
      <c r="Y26" s="9">
        <f t="shared" si="10"/>
        <v>2657591</v>
      </c>
      <c r="Z26" s="9">
        <f t="shared" si="11"/>
        <v>139873</v>
      </c>
      <c r="AA26" s="9">
        <f t="shared" si="12"/>
        <v>1633298</v>
      </c>
      <c r="AB26" s="9">
        <f t="shared" si="13"/>
        <v>1633298</v>
      </c>
      <c r="AC26" s="9">
        <f t="shared" si="14"/>
        <v>1633298</v>
      </c>
    </row>
    <row r="27" spans="1:29" s="3" customFormat="1">
      <c r="A27" s="7">
        <v>20</v>
      </c>
      <c r="B27" s="10" t="s">
        <v>24</v>
      </c>
      <c r="C27" s="29">
        <v>3000</v>
      </c>
      <c r="D27" s="29">
        <f>8+51</f>
        <v>59</v>
      </c>
      <c r="E27" s="29">
        <v>12</v>
      </c>
      <c r="F27" s="21">
        <v>1.018</v>
      </c>
      <c r="G27" s="23">
        <f t="shared" si="0"/>
        <v>2162232</v>
      </c>
      <c r="H27" s="29">
        <v>2500</v>
      </c>
      <c r="I27" s="29">
        <v>4</v>
      </c>
      <c r="J27" s="29">
        <v>12</v>
      </c>
      <c r="K27" s="21">
        <v>1.018</v>
      </c>
      <c r="L27" s="23">
        <f t="shared" si="1"/>
        <v>122160</v>
      </c>
      <c r="M27" s="29">
        <v>2200</v>
      </c>
      <c r="N27" s="29">
        <v>0</v>
      </c>
      <c r="O27" s="29">
        <v>12</v>
      </c>
      <c r="P27" s="21">
        <v>1.018</v>
      </c>
      <c r="Q27" s="23">
        <f t="shared" si="2"/>
        <v>0</v>
      </c>
      <c r="R27" s="25">
        <f t="shared" si="3"/>
        <v>2284392</v>
      </c>
      <c r="S27" s="9">
        <f t="shared" si="4"/>
        <v>2170172</v>
      </c>
      <c r="T27" s="9">
        <f t="shared" si="5"/>
        <v>114220</v>
      </c>
      <c r="U27" s="25">
        <f t="shared" si="6"/>
        <v>2284392</v>
      </c>
      <c r="V27" s="9">
        <f t="shared" si="7"/>
        <v>2170172</v>
      </c>
      <c r="W27" s="9">
        <f t="shared" si="8"/>
        <v>114220</v>
      </c>
      <c r="X27" s="25">
        <f t="shared" si="9"/>
        <v>2284392</v>
      </c>
      <c r="Y27" s="9">
        <f t="shared" si="10"/>
        <v>2170172</v>
      </c>
      <c r="Z27" s="9">
        <f t="shared" si="11"/>
        <v>114220</v>
      </c>
      <c r="AA27" s="9">
        <f t="shared" si="12"/>
        <v>1333741</v>
      </c>
      <c r="AB27" s="9">
        <f t="shared" si="13"/>
        <v>1333741</v>
      </c>
      <c r="AC27" s="9">
        <f t="shared" si="14"/>
        <v>1333741</v>
      </c>
    </row>
    <row r="28" spans="1:29" s="3" customFormat="1">
      <c r="A28" s="7">
        <v>21</v>
      </c>
      <c r="B28" s="10" t="s">
        <v>25</v>
      </c>
      <c r="C28" s="29">
        <v>3000</v>
      </c>
      <c r="D28" s="29">
        <f>2+37</f>
        <v>39</v>
      </c>
      <c r="E28" s="29">
        <v>12</v>
      </c>
      <c r="F28" s="21">
        <v>1.018</v>
      </c>
      <c r="G28" s="23">
        <f t="shared" si="0"/>
        <v>1429272</v>
      </c>
      <c r="H28" s="29">
        <v>2500</v>
      </c>
      <c r="I28" s="29">
        <v>4</v>
      </c>
      <c r="J28" s="29">
        <v>12</v>
      </c>
      <c r="K28" s="21">
        <v>1.018</v>
      </c>
      <c r="L28" s="23">
        <f t="shared" si="1"/>
        <v>122160</v>
      </c>
      <c r="M28" s="29">
        <v>2200</v>
      </c>
      <c r="N28" s="29">
        <v>0</v>
      </c>
      <c r="O28" s="29">
        <v>12</v>
      </c>
      <c r="P28" s="21">
        <v>1.018</v>
      </c>
      <c r="Q28" s="23">
        <f t="shared" si="2"/>
        <v>0</v>
      </c>
      <c r="R28" s="25">
        <f t="shared" si="3"/>
        <v>1551432</v>
      </c>
      <c r="S28" s="9">
        <f t="shared" si="4"/>
        <v>1473860</v>
      </c>
      <c r="T28" s="9">
        <f t="shared" si="5"/>
        <v>77572</v>
      </c>
      <c r="U28" s="25">
        <f t="shared" si="6"/>
        <v>1551432</v>
      </c>
      <c r="V28" s="9">
        <f t="shared" si="7"/>
        <v>1473860</v>
      </c>
      <c r="W28" s="9">
        <f t="shared" si="8"/>
        <v>77572</v>
      </c>
      <c r="X28" s="25">
        <f t="shared" si="9"/>
        <v>1551432</v>
      </c>
      <c r="Y28" s="9">
        <f t="shared" si="10"/>
        <v>1473860</v>
      </c>
      <c r="Z28" s="9">
        <f t="shared" si="11"/>
        <v>77572</v>
      </c>
      <c r="AA28" s="9">
        <f t="shared" si="12"/>
        <v>905802</v>
      </c>
      <c r="AB28" s="9">
        <f t="shared" si="13"/>
        <v>905802</v>
      </c>
      <c r="AC28" s="9">
        <f t="shared" si="14"/>
        <v>905802</v>
      </c>
    </row>
    <row r="29" spans="1:29" s="3" customFormat="1">
      <c r="A29" s="7">
        <v>22</v>
      </c>
      <c r="B29" s="10" t="s">
        <v>26</v>
      </c>
      <c r="C29" s="29">
        <v>3000</v>
      </c>
      <c r="D29" s="29">
        <f>1+39</f>
        <v>40</v>
      </c>
      <c r="E29" s="29">
        <v>12</v>
      </c>
      <c r="F29" s="21">
        <v>1.018</v>
      </c>
      <c r="G29" s="23">
        <f t="shared" si="0"/>
        <v>1465920</v>
      </c>
      <c r="H29" s="29">
        <v>2500</v>
      </c>
      <c r="I29" s="29">
        <v>3</v>
      </c>
      <c r="J29" s="29">
        <v>12</v>
      </c>
      <c r="K29" s="21">
        <v>1.018</v>
      </c>
      <c r="L29" s="23">
        <f t="shared" si="1"/>
        <v>91620</v>
      </c>
      <c r="M29" s="29">
        <v>2200</v>
      </c>
      <c r="N29" s="29">
        <v>0</v>
      </c>
      <c r="O29" s="29">
        <v>12</v>
      </c>
      <c r="P29" s="21">
        <v>1.018</v>
      </c>
      <c r="Q29" s="23">
        <f t="shared" si="2"/>
        <v>0</v>
      </c>
      <c r="R29" s="25">
        <f t="shared" si="3"/>
        <v>1557540</v>
      </c>
      <c r="S29" s="9">
        <f t="shared" si="4"/>
        <v>1479663</v>
      </c>
      <c r="T29" s="9">
        <f t="shared" si="5"/>
        <v>77877</v>
      </c>
      <c r="U29" s="25">
        <f t="shared" si="6"/>
        <v>1557540</v>
      </c>
      <c r="V29" s="9">
        <f t="shared" si="7"/>
        <v>1479663</v>
      </c>
      <c r="W29" s="9">
        <f t="shared" si="8"/>
        <v>77877</v>
      </c>
      <c r="X29" s="25">
        <f t="shared" si="9"/>
        <v>1557540</v>
      </c>
      <c r="Y29" s="9">
        <f t="shared" si="10"/>
        <v>1479663</v>
      </c>
      <c r="Z29" s="9">
        <f t="shared" si="11"/>
        <v>77877</v>
      </c>
      <c r="AA29" s="9">
        <f t="shared" si="12"/>
        <v>909369</v>
      </c>
      <c r="AB29" s="9">
        <f>ROUND(V29*$AA$41,0)</f>
        <v>909369</v>
      </c>
      <c r="AC29" s="9">
        <f t="shared" si="14"/>
        <v>909369</v>
      </c>
    </row>
    <row r="30" spans="1:29" s="3" customFormat="1">
      <c r="A30" s="7">
        <v>23</v>
      </c>
      <c r="B30" s="10" t="s">
        <v>27</v>
      </c>
      <c r="C30" s="29">
        <v>3000</v>
      </c>
      <c r="D30" s="29">
        <f>6+49</f>
        <v>55</v>
      </c>
      <c r="E30" s="29">
        <v>12</v>
      </c>
      <c r="F30" s="21">
        <v>1.018</v>
      </c>
      <c r="G30" s="23">
        <f t="shared" si="0"/>
        <v>2015640</v>
      </c>
      <c r="H30" s="29">
        <v>2500</v>
      </c>
      <c r="I30" s="29">
        <v>5</v>
      </c>
      <c r="J30" s="29">
        <v>12</v>
      </c>
      <c r="K30" s="21">
        <v>1.018</v>
      </c>
      <c r="L30" s="23">
        <f t="shared" si="1"/>
        <v>152700</v>
      </c>
      <c r="M30" s="29">
        <v>2200</v>
      </c>
      <c r="N30" s="29">
        <v>0</v>
      </c>
      <c r="O30" s="29">
        <v>12</v>
      </c>
      <c r="P30" s="21">
        <v>1.018</v>
      </c>
      <c r="Q30" s="23">
        <f t="shared" si="2"/>
        <v>0</v>
      </c>
      <c r="R30" s="25">
        <f t="shared" si="3"/>
        <v>2168340</v>
      </c>
      <c r="S30" s="9">
        <f>ROUND(R30*95/100,0)</f>
        <v>2059923</v>
      </c>
      <c r="T30" s="9">
        <f>ROUND(R30*5/100,0)</f>
        <v>108417</v>
      </c>
      <c r="U30" s="25">
        <f t="shared" si="6"/>
        <v>2168340</v>
      </c>
      <c r="V30" s="9">
        <f t="shared" si="7"/>
        <v>2059923</v>
      </c>
      <c r="W30" s="9">
        <f t="shared" si="8"/>
        <v>108417</v>
      </c>
      <c r="X30" s="25">
        <f t="shared" si="9"/>
        <v>2168340</v>
      </c>
      <c r="Y30" s="9">
        <f t="shared" si="10"/>
        <v>2059923</v>
      </c>
      <c r="Z30" s="9">
        <f t="shared" si="11"/>
        <v>108417</v>
      </c>
      <c r="AA30" s="9">
        <f t="shared" si="12"/>
        <v>1265984</v>
      </c>
      <c r="AB30" s="9">
        <f t="shared" si="13"/>
        <v>1265984</v>
      </c>
      <c r="AC30" s="9">
        <f t="shared" si="14"/>
        <v>1265984</v>
      </c>
    </row>
    <row r="31" spans="1:29" s="3" customFormat="1">
      <c r="A31" s="7">
        <v>24</v>
      </c>
      <c r="B31" s="10" t="s">
        <v>28</v>
      </c>
      <c r="C31" s="29">
        <v>3000</v>
      </c>
      <c r="D31" s="29">
        <f>1+32</f>
        <v>33</v>
      </c>
      <c r="E31" s="29">
        <v>12</v>
      </c>
      <c r="F31" s="21">
        <v>1.018</v>
      </c>
      <c r="G31" s="23">
        <f t="shared" si="0"/>
        <v>1209384</v>
      </c>
      <c r="H31" s="29">
        <v>2500</v>
      </c>
      <c r="I31" s="29">
        <v>1</v>
      </c>
      <c r="J31" s="29">
        <v>12</v>
      </c>
      <c r="K31" s="21">
        <v>1.018</v>
      </c>
      <c r="L31" s="23">
        <f t="shared" si="1"/>
        <v>30540</v>
      </c>
      <c r="M31" s="29">
        <v>2200</v>
      </c>
      <c r="N31" s="29">
        <v>0</v>
      </c>
      <c r="O31" s="29">
        <v>12</v>
      </c>
      <c r="P31" s="21">
        <v>1.018</v>
      </c>
      <c r="Q31" s="23">
        <f t="shared" si="2"/>
        <v>0</v>
      </c>
      <c r="R31" s="25">
        <f t="shared" si="3"/>
        <v>1239924</v>
      </c>
      <c r="S31" s="9">
        <f t="shared" si="4"/>
        <v>1177928</v>
      </c>
      <c r="T31" s="9">
        <f t="shared" si="5"/>
        <v>61996</v>
      </c>
      <c r="U31" s="25">
        <f t="shared" si="6"/>
        <v>1239924</v>
      </c>
      <c r="V31" s="9">
        <f t="shared" si="7"/>
        <v>1177928</v>
      </c>
      <c r="W31" s="9">
        <f t="shared" si="8"/>
        <v>61996</v>
      </c>
      <c r="X31" s="25">
        <f t="shared" si="9"/>
        <v>1239924</v>
      </c>
      <c r="Y31" s="9">
        <f t="shared" si="10"/>
        <v>1177928</v>
      </c>
      <c r="Z31" s="9">
        <f t="shared" si="11"/>
        <v>61996</v>
      </c>
      <c r="AA31" s="9">
        <f t="shared" si="12"/>
        <v>723929</v>
      </c>
      <c r="AB31" s="9">
        <f t="shared" si="13"/>
        <v>723929</v>
      </c>
      <c r="AC31" s="9">
        <f t="shared" si="14"/>
        <v>723929</v>
      </c>
    </row>
    <row r="32" spans="1:29" s="3" customFormat="1">
      <c r="A32" s="7">
        <v>25</v>
      </c>
      <c r="B32" s="10" t="s">
        <v>29</v>
      </c>
      <c r="C32" s="29">
        <v>3000</v>
      </c>
      <c r="D32" s="29">
        <f>3+20</f>
        <v>23</v>
      </c>
      <c r="E32" s="29">
        <v>12</v>
      </c>
      <c r="F32" s="21">
        <v>1.018</v>
      </c>
      <c r="G32" s="23">
        <f t="shared" si="0"/>
        <v>842904</v>
      </c>
      <c r="H32" s="29">
        <v>2500</v>
      </c>
      <c r="I32" s="29">
        <v>1</v>
      </c>
      <c r="J32" s="29">
        <v>12</v>
      </c>
      <c r="K32" s="21">
        <v>1.018</v>
      </c>
      <c r="L32" s="23">
        <f t="shared" si="1"/>
        <v>30540</v>
      </c>
      <c r="M32" s="29">
        <v>2200</v>
      </c>
      <c r="N32" s="29">
        <v>0</v>
      </c>
      <c r="O32" s="29">
        <v>12</v>
      </c>
      <c r="P32" s="21">
        <v>1.018</v>
      </c>
      <c r="Q32" s="23">
        <f t="shared" si="2"/>
        <v>0</v>
      </c>
      <c r="R32" s="25">
        <f t="shared" si="3"/>
        <v>873444</v>
      </c>
      <c r="S32" s="9">
        <f t="shared" si="4"/>
        <v>829772</v>
      </c>
      <c r="T32" s="9">
        <f t="shared" si="5"/>
        <v>43672</v>
      </c>
      <c r="U32" s="25">
        <f t="shared" si="6"/>
        <v>873444</v>
      </c>
      <c r="V32" s="9">
        <f t="shared" si="7"/>
        <v>829772</v>
      </c>
      <c r="W32" s="9">
        <f t="shared" si="8"/>
        <v>43672</v>
      </c>
      <c r="X32" s="25">
        <f t="shared" si="9"/>
        <v>873444</v>
      </c>
      <c r="Y32" s="9">
        <f t="shared" si="10"/>
        <v>829772</v>
      </c>
      <c r="Z32" s="9">
        <f t="shared" si="11"/>
        <v>43672</v>
      </c>
      <c r="AA32" s="9">
        <f t="shared" si="12"/>
        <v>509960</v>
      </c>
      <c r="AB32" s="9">
        <f t="shared" si="13"/>
        <v>509960</v>
      </c>
      <c r="AC32" s="9">
        <f t="shared" si="14"/>
        <v>509960</v>
      </c>
    </row>
    <row r="33" spans="1:29" s="3" customFormat="1">
      <c r="A33" s="7">
        <v>26</v>
      </c>
      <c r="B33" s="10" t="s">
        <v>30</v>
      </c>
      <c r="C33" s="29">
        <v>3000</v>
      </c>
      <c r="D33" s="29">
        <f>3+34</f>
        <v>37</v>
      </c>
      <c r="E33" s="29">
        <v>12</v>
      </c>
      <c r="F33" s="21">
        <v>1.018</v>
      </c>
      <c r="G33" s="23">
        <f t="shared" si="0"/>
        <v>1355976</v>
      </c>
      <c r="H33" s="29">
        <v>2500</v>
      </c>
      <c r="I33" s="29">
        <v>2</v>
      </c>
      <c r="J33" s="29">
        <v>12</v>
      </c>
      <c r="K33" s="21">
        <v>1.018</v>
      </c>
      <c r="L33" s="23">
        <f t="shared" si="1"/>
        <v>61080</v>
      </c>
      <c r="M33" s="29">
        <v>2200</v>
      </c>
      <c r="N33" s="29">
        <v>0</v>
      </c>
      <c r="O33" s="29">
        <v>12</v>
      </c>
      <c r="P33" s="21">
        <v>1.018</v>
      </c>
      <c r="Q33" s="23">
        <f t="shared" si="2"/>
        <v>0</v>
      </c>
      <c r="R33" s="25">
        <f t="shared" si="3"/>
        <v>1417056</v>
      </c>
      <c r="S33" s="9">
        <f t="shared" si="4"/>
        <v>1346203</v>
      </c>
      <c r="T33" s="9">
        <f t="shared" si="5"/>
        <v>70853</v>
      </c>
      <c r="U33" s="25">
        <f t="shared" si="6"/>
        <v>1417056</v>
      </c>
      <c r="V33" s="9">
        <f t="shared" si="7"/>
        <v>1346203</v>
      </c>
      <c r="W33" s="9">
        <f t="shared" si="8"/>
        <v>70853</v>
      </c>
      <c r="X33" s="25">
        <f t="shared" si="9"/>
        <v>1417056</v>
      </c>
      <c r="Y33" s="9">
        <f t="shared" si="10"/>
        <v>1346203</v>
      </c>
      <c r="Z33" s="9">
        <f t="shared" si="11"/>
        <v>70853</v>
      </c>
      <c r="AA33" s="9">
        <f t="shared" si="12"/>
        <v>827347</v>
      </c>
      <c r="AB33" s="9">
        <f t="shared" si="13"/>
        <v>827347</v>
      </c>
      <c r="AC33" s="9">
        <f t="shared" si="14"/>
        <v>827347</v>
      </c>
    </row>
    <row r="34" spans="1:29" s="3" customFormat="1">
      <c r="A34" s="7">
        <v>27</v>
      </c>
      <c r="B34" s="10" t="s">
        <v>31</v>
      </c>
      <c r="C34" s="29">
        <v>3000</v>
      </c>
      <c r="D34" s="29">
        <f>1+39</f>
        <v>40</v>
      </c>
      <c r="E34" s="29">
        <v>12</v>
      </c>
      <c r="F34" s="21">
        <v>1.018</v>
      </c>
      <c r="G34" s="23">
        <f t="shared" si="0"/>
        <v>1465920</v>
      </c>
      <c r="H34" s="29">
        <v>2500</v>
      </c>
      <c r="I34" s="29">
        <v>2</v>
      </c>
      <c r="J34" s="29">
        <v>12</v>
      </c>
      <c r="K34" s="21">
        <v>1.018</v>
      </c>
      <c r="L34" s="23">
        <f t="shared" si="1"/>
        <v>61080</v>
      </c>
      <c r="M34" s="29">
        <v>2200</v>
      </c>
      <c r="N34" s="29">
        <v>0</v>
      </c>
      <c r="O34" s="29">
        <v>12</v>
      </c>
      <c r="P34" s="21">
        <v>1.018</v>
      </c>
      <c r="Q34" s="23">
        <f t="shared" si="2"/>
        <v>0</v>
      </c>
      <c r="R34" s="25">
        <f t="shared" si="3"/>
        <v>1527000</v>
      </c>
      <c r="S34" s="9">
        <f t="shared" si="4"/>
        <v>1450650</v>
      </c>
      <c r="T34" s="9">
        <f t="shared" si="5"/>
        <v>76350</v>
      </c>
      <c r="U34" s="25">
        <f t="shared" si="6"/>
        <v>1527000</v>
      </c>
      <c r="V34" s="9">
        <f t="shared" si="7"/>
        <v>1450650</v>
      </c>
      <c r="W34" s="9">
        <f t="shared" si="8"/>
        <v>76350</v>
      </c>
      <c r="X34" s="25">
        <f t="shared" si="9"/>
        <v>1527000</v>
      </c>
      <c r="Y34" s="9">
        <f t="shared" si="10"/>
        <v>1450650</v>
      </c>
      <c r="Z34" s="9">
        <f t="shared" si="11"/>
        <v>76350</v>
      </c>
      <c r="AA34" s="9">
        <f t="shared" si="12"/>
        <v>891538</v>
      </c>
      <c r="AB34" s="9">
        <f>ROUND(V34*$AA$41,0)</f>
        <v>891538</v>
      </c>
      <c r="AC34" s="9">
        <f t="shared" si="14"/>
        <v>891538</v>
      </c>
    </row>
    <row r="35" spans="1:29" s="3" customFormat="1">
      <c r="A35" s="7">
        <v>28</v>
      </c>
      <c r="B35" s="10" t="s">
        <v>32</v>
      </c>
      <c r="C35" s="29">
        <v>3000</v>
      </c>
      <c r="D35" s="29">
        <f>2+4</f>
        <v>6</v>
      </c>
      <c r="E35" s="29">
        <v>12</v>
      </c>
      <c r="F35" s="21">
        <v>1.018</v>
      </c>
      <c r="G35" s="23">
        <f t="shared" si="0"/>
        <v>219888</v>
      </c>
      <c r="H35" s="29">
        <v>2500</v>
      </c>
      <c r="I35" s="29">
        <v>0</v>
      </c>
      <c r="J35" s="29">
        <v>12</v>
      </c>
      <c r="K35" s="21">
        <v>1.018</v>
      </c>
      <c r="L35" s="23">
        <f t="shared" si="1"/>
        <v>0</v>
      </c>
      <c r="M35" s="29">
        <v>2200</v>
      </c>
      <c r="N35" s="29">
        <v>0</v>
      </c>
      <c r="O35" s="29">
        <v>12</v>
      </c>
      <c r="P35" s="21">
        <v>1.018</v>
      </c>
      <c r="Q35" s="23">
        <f t="shared" si="2"/>
        <v>0</v>
      </c>
      <c r="R35" s="25">
        <f t="shared" si="3"/>
        <v>219888</v>
      </c>
      <c r="S35" s="9">
        <f t="shared" si="4"/>
        <v>208894</v>
      </c>
      <c r="T35" s="9">
        <f t="shared" si="5"/>
        <v>10994</v>
      </c>
      <c r="U35" s="25">
        <f t="shared" si="6"/>
        <v>219888</v>
      </c>
      <c r="V35" s="9">
        <f t="shared" si="7"/>
        <v>208894</v>
      </c>
      <c r="W35" s="9">
        <f t="shared" si="8"/>
        <v>10994</v>
      </c>
      <c r="X35" s="25">
        <f t="shared" si="9"/>
        <v>219888</v>
      </c>
      <c r="Y35" s="9">
        <f t="shared" si="10"/>
        <v>208894</v>
      </c>
      <c r="Z35" s="9">
        <f t="shared" si="11"/>
        <v>10994</v>
      </c>
      <c r="AA35" s="9">
        <f t="shared" si="12"/>
        <v>128382</v>
      </c>
      <c r="AB35" s="9">
        <f t="shared" si="13"/>
        <v>128382</v>
      </c>
      <c r="AC35" s="9">
        <f t="shared" si="14"/>
        <v>128382</v>
      </c>
    </row>
    <row r="36" spans="1:29">
      <c r="A36" s="11"/>
      <c r="B36" s="12" t="s">
        <v>3</v>
      </c>
      <c r="C36" s="15">
        <v>3000</v>
      </c>
      <c r="D36" s="15">
        <f>D8+D9+D10+D11+D12+D13+D14+D15+D16+D17+D18+D19+D20+D21+D22+D23+D24+D25+D26+D27+D28+D29+D30+D31+D32+D33+D34+D35</f>
        <v>1453</v>
      </c>
      <c r="E36" s="15">
        <v>12</v>
      </c>
      <c r="F36" s="22">
        <v>1.018</v>
      </c>
      <c r="G36" s="14">
        <f>G8+G9+G10+G11+G12+G13+G14+G15+G16+G17+G18+G19+G20+G21+G22+G23+G24+G25+G26+G27+G28+G29+G30+G31+G32+G33+G34+G35</f>
        <v>53249544</v>
      </c>
      <c r="H36" s="15">
        <v>2500</v>
      </c>
      <c r="I36" s="15">
        <f>I8+I9+I10+I11+I12+I13+I14+I15+I16+I17+I18+I19+I20+I21+I22+I23+I24+I25+I26+I27+I28+I29+I30+I31+I32+I33+I34+I35</f>
        <v>92</v>
      </c>
      <c r="J36" s="15">
        <v>12</v>
      </c>
      <c r="K36" s="22">
        <v>1.018</v>
      </c>
      <c r="L36" s="14">
        <f>L8+L9+L10+L11+L12+L13+L14+L15+L16+L17+L18+L19+L20+L21+L22+L23+L24+L25+L26+L27+L28+L29+L30+L31+L32+L33+L34+L35</f>
        <v>2809680</v>
      </c>
      <c r="M36" s="15">
        <v>2200</v>
      </c>
      <c r="N36" s="15">
        <v>0</v>
      </c>
      <c r="O36" s="15">
        <v>12</v>
      </c>
      <c r="P36" s="22">
        <v>1.018</v>
      </c>
      <c r="Q36" s="14">
        <f>Q8+Q9+Q10+Q11+Q12+Q13+Q14+Q15+Q16+Q17+Q18+Q19+Q20+Q21+Q22+Q23+Q24+Q25+Q26+Q27+Q28+Q29+Q30+Q31+Q32+Q33+Q34+Q35</f>
        <v>0</v>
      </c>
      <c r="R36" s="13">
        <f>R8+R9+R10+R11+R12+R13+R14+R15+R16+R17+R18+R19+R20+R21+R22+R23+R24+R25+R26+R27+R28+R29+R30+R31+R32+R33+R34+R35</f>
        <v>56059224</v>
      </c>
      <c r="S36" s="13">
        <f>S8+S9+S10+S11+S12+S13+S14+S15+S16+S17+S18+S19+S20+S21+S22+S23+S24+S25+S26+S27+S28+S29+S30+S31+S32+S33+S34+S35</f>
        <v>53256263</v>
      </c>
      <c r="T36" s="13">
        <f>T8+T9+T10+T11+T12+T13+T14+T15+T16+T17+T18+T19+T20+T21+T22+T23+T24+T25+T26+T27+T28+T29+T30+T31+T32+T33+T34+T35</f>
        <v>2802961</v>
      </c>
      <c r="U36" s="13">
        <f t="shared" ref="U36:X36" si="15">U8+U9+U10+U11+U12+U13+U14+U15+U16+U17+U18+U19+U20+U21+U22+U23+U24+U25+U26+U27+U28+U29+U30+U31+U32+U33+U34+U35</f>
        <v>56059224</v>
      </c>
      <c r="V36" s="13">
        <f t="shared" si="15"/>
        <v>53256263</v>
      </c>
      <c r="W36" s="13">
        <f t="shared" si="15"/>
        <v>2802961</v>
      </c>
      <c r="X36" s="13">
        <f t="shared" si="15"/>
        <v>56059224</v>
      </c>
      <c r="Y36" s="16">
        <f>Y8+Y9+Y10+Y11+Y12+Y13+Y14+Y15+Y16+Y17+Y18+Y19+Y20+Y21+Y22+Y23+Y24+Y25+Y26+Y27+Y28+Y29+Y30+Y31+Y32+Y33+Y34+Y35</f>
        <v>53256263</v>
      </c>
      <c r="Z36" s="16">
        <f>Z8+Z9+Z10+Z11+Z12+Z13+Z14+Z15+Z16+Z17+Z18+Z19+Z20+Z21+Z22+Z23+Z24+Z25+Z26+Z27+Z28+Z29+Z30+Z31+Z32+Z33+Z34+Z35</f>
        <v>2802961</v>
      </c>
      <c r="AA36" s="16">
        <f>AA8+AA9+AA10+AA11+AA12+AA13+AA14+AA15+AA16+AA17+AA18+AA19+AA20+AA21+AA22+AA23+AA24+AA25+AA26+AA27+AA28+AA29+AA30+AA31+AA32+AA33+AA34+AA35</f>
        <v>32730146</v>
      </c>
      <c r="AB36" s="16">
        <f>AB8+AB9+AB10+AB11+AB12+AB13+AB14+AB15+AB16+AB17+AB18+AB19+AB20+AB21+AB22+AB23+AB24+AB25+AB26+AB27+AB28+AB29+AB30+AB31+AB32+AB33+AB34+AB35</f>
        <v>32730146</v>
      </c>
      <c r="AC36" s="16">
        <f>AC8+AC9+AC10+AC11+AC12+AC13+AC14+AC15+AC16+AC17+AC18+AC19+AC20+AC21+AC22+AC23+AC24+AC25+AC26+AC27+AC28+AC29+AC30+AC31+AC32+AC33+AC34+AC35</f>
        <v>32730146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T38*AA40</f>
        <v>1722639.1270843314</v>
      </c>
      <c r="AB37" s="26">
        <f>W38*AA41</f>
        <v>1722639.1270843314</v>
      </c>
      <c r="AC37" s="26">
        <f>AB37</f>
        <v>1722639.1270843314</v>
      </c>
    </row>
    <row r="38" spans="1:29">
      <c r="A38" s="17"/>
      <c r="B38" s="18" t="s">
        <v>4</v>
      </c>
      <c r="C38" s="18"/>
      <c r="D38" s="18"/>
      <c r="E38" s="18"/>
      <c r="F38" s="18"/>
      <c r="G38" s="18"/>
      <c r="H38" s="18"/>
      <c r="I38" s="18"/>
      <c r="J38" s="18"/>
      <c r="K38" s="18"/>
      <c r="L38" s="18"/>
      <c r="M38" s="18"/>
      <c r="N38" s="18"/>
      <c r="O38" s="18"/>
      <c r="P38" s="18"/>
      <c r="Q38" s="18"/>
      <c r="R38" s="27">
        <f t="shared" ref="R38:Z38" si="16">R36</f>
        <v>56059224</v>
      </c>
      <c r="S38" s="27">
        <f t="shared" si="16"/>
        <v>53256263</v>
      </c>
      <c r="T38" s="27">
        <f t="shared" si="16"/>
        <v>2802961</v>
      </c>
      <c r="U38" s="27">
        <f t="shared" si="16"/>
        <v>56059224</v>
      </c>
      <c r="V38" s="27">
        <f t="shared" si="16"/>
        <v>53256263</v>
      </c>
      <c r="W38" s="27">
        <f t="shared" si="16"/>
        <v>2802961</v>
      </c>
      <c r="X38" s="27">
        <f t="shared" si="16"/>
        <v>56059224</v>
      </c>
      <c r="Y38" s="27">
        <f t="shared" si="16"/>
        <v>53256263</v>
      </c>
      <c r="Z38" s="27">
        <f t="shared" si="16"/>
        <v>2802961</v>
      </c>
      <c r="AA38" s="26">
        <f t="shared" ref="AA38:AC38" si="17">AA36+AA37</f>
        <v>34452785.12708433</v>
      </c>
      <c r="AB38" s="26">
        <f t="shared" si="17"/>
        <v>34452785.12708433</v>
      </c>
      <c r="AC38" s="26">
        <f t="shared" si="17"/>
        <v>34452785.12708433</v>
      </c>
    </row>
    <row r="39" spans="1:29">
      <c r="AB39" s="20"/>
    </row>
    <row r="40" spans="1:29">
      <c r="W40" s="1" t="s">
        <v>51</v>
      </c>
      <c r="X40" s="32">
        <v>34452785</v>
      </c>
      <c r="Y40" s="48" t="s">
        <v>52</v>
      </c>
      <c r="Z40" s="48"/>
      <c r="AA40" s="1">
        <f>X40/R38</f>
        <v>0.61457834307517345</v>
      </c>
      <c r="AB40" s="34"/>
    </row>
    <row r="41" spans="1:29" ht="12.75" customHeight="1">
      <c r="W41" s="1" t="s">
        <v>57</v>
      </c>
      <c r="X41" s="32">
        <v>34452785</v>
      </c>
      <c r="Y41" s="48" t="s">
        <v>58</v>
      </c>
      <c r="Z41" s="48"/>
      <c r="AA41" s="1">
        <f>X41/U38</f>
        <v>0.61457834307517345</v>
      </c>
      <c r="AB41" s="34"/>
    </row>
    <row r="42" spans="1:29">
      <c r="W42" s="1" t="s">
        <v>60</v>
      </c>
      <c r="X42" s="32">
        <v>34452785</v>
      </c>
      <c r="Y42" s="48" t="s">
        <v>59</v>
      </c>
      <c r="Z42" s="48"/>
      <c r="AA42" s="1">
        <f>X42/X38</f>
        <v>0.61457834307517345</v>
      </c>
      <c r="AB42" s="33"/>
    </row>
  </sheetData>
  <mergeCells count="39">
    <mergeCell ref="AC4:AC6"/>
    <mergeCell ref="Y5:Y6"/>
    <mergeCell ref="C2:H2"/>
    <mergeCell ref="Y42:Z42"/>
    <mergeCell ref="V4:W4"/>
    <mergeCell ref="X4:X6"/>
    <mergeCell ref="Y4:Z4"/>
    <mergeCell ref="Y40:Z40"/>
    <mergeCell ref="Y41:Z41"/>
    <mergeCell ref="W5:W6"/>
    <mergeCell ref="Z5:Z6"/>
    <mergeCell ref="V5:V6"/>
    <mergeCell ref="H5:H6"/>
    <mergeCell ref="J5:J6"/>
    <mergeCell ref="K5:K6"/>
    <mergeCell ref="L5:L6"/>
    <mergeCell ref="T5:T6"/>
    <mergeCell ref="AA4:AA6"/>
    <mergeCell ref="AB4:AB6"/>
    <mergeCell ref="N5:N6"/>
    <mergeCell ref="U4:U6"/>
    <mergeCell ref="R4:R6"/>
    <mergeCell ref="S4:T4"/>
    <mergeCell ref="A4:A6"/>
    <mergeCell ref="D5:D6"/>
    <mergeCell ref="I5:I6"/>
    <mergeCell ref="M5:M6"/>
    <mergeCell ref="S5:S6"/>
    <mergeCell ref="B4:B6"/>
    <mergeCell ref="H4:L4"/>
    <mergeCell ref="P5:P6"/>
    <mergeCell ref="Q5:Q6"/>
    <mergeCell ref="O5:O6"/>
    <mergeCell ref="M4:Q4"/>
    <mergeCell ref="C4:G4"/>
    <mergeCell ref="C5:C6"/>
    <mergeCell ref="E5:E6"/>
    <mergeCell ref="F5:F6"/>
    <mergeCell ref="G5:G6"/>
  </mergeCells>
  <phoneticPr fontId="0" type="noConversion"/>
  <pageMargins left="0.19685039370078741" right="0.19685039370078741" top="0.19685039370078741" bottom="0.19685039370078741" header="0" footer="0"/>
  <pageSetup paperSize="9" scale="60" orientation="landscape" r:id="rId1"/>
  <headerFooter alignWithMargins="0"/>
  <colBreaks count="3" manualBreakCount="3">
    <brk id="7" max="42" man="1"/>
    <brk id="12" max="42" man="1"/>
    <brk id="21" max="42" man="1"/>
  </colBreaks>
</worksheet>
</file>

<file path=xl/worksheets/sheet2.xml><?xml version="1.0" encoding="utf-8"?>
<worksheet xmlns="http://schemas.openxmlformats.org/spreadsheetml/2006/main" xmlns:r="http://schemas.openxmlformats.org/officeDocument/2006/relationships">
  <dimension ref="A2:AC42"/>
  <sheetViews>
    <sheetView view="pageBreakPreview" zoomScaleNormal="100" zoomScaleSheetLayoutView="100" workbookViewId="0">
      <pane xSplit="2" ySplit="7" topLeftCell="Q8" activePane="bottomRight" state="frozen"/>
      <selection pane="topRight" activeCell="C1" sqref="C1"/>
      <selection pane="bottomLeft" activeCell="A8" sqref="A8"/>
      <selection pane="bottomRight" activeCell="C5" sqref="C5:C6"/>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9.140625" style="1" customWidth="1"/>
    <col min="8" max="8" width="21.28515625" style="1" customWidth="1"/>
    <col min="9" max="9" width="47.8554687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23.5703125" style="1" customWidth="1"/>
    <col min="18" max="18" width="19.28515625" style="1" customWidth="1"/>
    <col min="19" max="19" width="16.28515625" style="1" customWidth="1"/>
    <col min="20" max="20" width="16.5703125" style="1" customWidth="1"/>
    <col min="21" max="21" width="18.7109375" style="1" customWidth="1"/>
    <col min="22" max="22" width="14.28515625" style="1" customWidth="1"/>
    <col min="23" max="23" width="14.5703125" style="1" customWidth="1"/>
    <col min="24" max="24" width="18.7109375" style="1" customWidth="1"/>
    <col min="25" max="25" width="14.7109375" style="1" customWidth="1"/>
    <col min="26" max="26" width="15.42578125" style="1" customWidth="1"/>
    <col min="27" max="27" width="16.140625" style="1" customWidth="1"/>
    <col min="28" max="28" width="16.85546875" style="1" customWidth="1"/>
    <col min="29" max="29" width="15.85546875" style="1" customWidth="1"/>
    <col min="30" max="16384" width="9.140625" style="1"/>
  </cols>
  <sheetData>
    <row r="2" spans="1:29" ht="45" customHeight="1">
      <c r="C2" s="47" t="s">
        <v>54</v>
      </c>
      <c r="D2" s="47"/>
      <c r="E2" s="47"/>
      <c r="F2" s="47"/>
      <c r="G2" s="47"/>
      <c r="H2" s="47"/>
      <c r="I2" s="47"/>
      <c r="J2" s="35"/>
      <c r="K2" s="35"/>
      <c r="L2" s="2"/>
      <c r="M2" s="2"/>
      <c r="N2" s="2"/>
      <c r="O2" s="2"/>
      <c r="P2" s="2"/>
      <c r="Q2" s="2"/>
      <c r="S2" s="2"/>
      <c r="T2" s="2"/>
      <c r="U2" s="2"/>
      <c r="V2" s="2"/>
      <c r="W2" s="2"/>
      <c r="X2" s="2"/>
      <c r="Y2" s="2"/>
      <c r="Z2" s="2"/>
    </row>
    <row r="4" spans="1:29" s="3" customFormat="1" ht="50.25" customHeight="1">
      <c r="A4" s="37" t="s">
        <v>0</v>
      </c>
      <c r="B4" s="37" t="s">
        <v>1</v>
      </c>
      <c r="C4" s="39" t="s">
        <v>71</v>
      </c>
      <c r="D4" s="40"/>
      <c r="E4" s="40"/>
      <c r="F4" s="40"/>
      <c r="G4" s="40"/>
      <c r="H4" s="39" t="s">
        <v>72</v>
      </c>
      <c r="I4" s="40"/>
      <c r="J4" s="40"/>
      <c r="K4" s="40"/>
      <c r="L4" s="40"/>
      <c r="M4" s="42" t="s">
        <v>73</v>
      </c>
      <c r="N4" s="42"/>
      <c r="O4" s="42"/>
      <c r="P4" s="42"/>
      <c r="Q4" s="42"/>
      <c r="R4" s="44" t="s">
        <v>74</v>
      </c>
      <c r="S4" s="42" t="s">
        <v>44</v>
      </c>
      <c r="T4" s="42"/>
      <c r="U4" s="44" t="s">
        <v>75</v>
      </c>
      <c r="V4" s="42" t="s">
        <v>44</v>
      </c>
      <c r="W4" s="42"/>
      <c r="X4" s="44" t="s">
        <v>76</v>
      </c>
      <c r="Y4" s="42" t="s">
        <v>44</v>
      </c>
      <c r="Z4" s="42"/>
      <c r="AA4" s="42" t="s">
        <v>61</v>
      </c>
      <c r="AB4" s="42" t="s">
        <v>63</v>
      </c>
      <c r="AC4" s="42" t="s">
        <v>62</v>
      </c>
    </row>
    <row r="5" spans="1:29" ht="68.25" customHeight="1">
      <c r="A5" s="37"/>
      <c r="B5" s="37"/>
      <c r="C5" s="38" t="s">
        <v>34</v>
      </c>
      <c r="D5" s="38" t="s">
        <v>65</v>
      </c>
      <c r="E5" s="41" t="s">
        <v>33</v>
      </c>
      <c r="F5" s="41" t="s">
        <v>66</v>
      </c>
      <c r="G5" s="42" t="s">
        <v>64</v>
      </c>
      <c r="H5" s="38" t="s">
        <v>39</v>
      </c>
      <c r="I5" s="38" t="s">
        <v>68</v>
      </c>
      <c r="J5" s="41" t="s">
        <v>36</v>
      </c>
      <c r="K5" s="41" t="s">
        <v>66</v>
      </c>
      <c r="L5" s="42" t="s">
        <v>67</v>
      </c>
      <c r="M5" s="38" t="s">
        <v>40</v>
      </c>
      <c r="N5" s="38" t="s">
        <v>70</v>
      </c>
      <c r="O5" s="41" t="s">
        <v>33</v>
      </c>
      <c r="P5" s="41" t="s">
        <v>66</v>
      </c>
      <c r="Q5" s="42" t="s">
        <v>69</v>
      </c>
      <c r="R5" s="45"/>
      <c r="S5" s="39" t="s">
        <v>42</v>
      </c>
      <c r="T5" s="43" t="s">
        <v>43</v>
      </c>
      <c r="U5" s="45"/>
      <c r="V5" s="39" t="s">
        <v>42</v>
      </c>
      <c r="W5" s="43" t="s">
        <v>43</v>
      </c>
      <c r="X5" s="45"/>
      <c r="Y5" s="39" t="s">
        <v>42</v>
      </c>
      <c r="Z5" s="43" t="s">
        <v>43</v>
      </c>
      <c r="AA5" s="42"/>
      <c r="AB5" s="42"/>
      <c r="AC5" s="42"/>
    </row>
    <row r="6" spans="1:29" ht="153" customHeight="1">
      <c r="A6" s="37"/>
      <c r="B6" s="37"/>
      <c r="C6" s="38"/>
      <c r="D6" s="38"/>
      <c r="E6" s="41"/>
      <c r="F6" s="41"/>
      <c r="G6" s="42"/>
      <c r="H6" s="38"/>
      <c r="I6" s="38"/>
      <c r="J6" s="41"/>
      <c r="K6" s="41"/>
      <c r="L6" s="42"/>
      <c r="M6" s="38"/>
      <c r="N6" s="38"/>
      <c r="O6" s="41"/>
      <c r="P6" s="41"/>
      <c r="Q6" s="42"/>
      <c r="R6" s="46"/>
      <c r="S6" s="39"/>
      <c r="T6" s="43"/>
      <c r="U6" s="46"/>
      <c r="V6" s="39"/>
      <c r="W6" s="43"/>
      <c r="X6" s="46"/>
      <c r="Y6" s="39"/>
      <c r="Z6" s="43"/>
      <c r="AA6" s="42"/>
      <c r="AB6" s="42"/>
      <c r="AC6" s="42"/>
    </row>
    <row r="7" spans="1:29" ht="18" customHeight="1">
      <c r="A7" s="28">
        <v>1</v>
      </c>
      <c r="B7" s="28">
        <f>A7+1</f>
        <v>2</v>
      </c>
      <c r="C7" s="28">
        <v>3</v>
      </c>
      <c r="D7" s="28">
        <v>4</v>
      </c>
      <c r="E7" s="28">
        <v>5</v>
      </c>
      <c r="F7" s="28">
        <v>6</v>
      </c>
      <c r="G7" s="28" t="s">
        <v>35</v>
      </c>
      <c r="H7" s="28">
        <v>8</v>
      </c>
      <c r="I7" s="28">
        <v>9</v>
      </c>
      <c r="J7" s="28">
        <v>10</v>
      </c>
      <c r="K7" s="24">
        <v>11</v>
      </c>
      <c r="L7" s="28" t="s">
        <v>37</v>
      </c>
      <c r="M7" s="28">
        <v>13</v>
      </c>
      <c r="N7" s="28">
        <v>14</v>
      </c>
      <c r="O7" s="28">
        <v>15</v>
      </c>
      <c r="P7" s="28">
        <v>16</v>
      </c>
      <c r="Q7" s="28" t="s">
        <v>38</v>
      </c>
      <c r="R7" s="28" t="s">
        <v>41</v>
      </c>
      <c r="S7" s="28" t="s">
        <v>45</v>
      </c>
      <c r="T7" s="28" t="s">
        <v>46</v>
      </c>
      <c r="U7" s="28">
        <v>21</v>
      </c>
      <c r="V7" s="28" t="s">
        <v>47</v>
      </c>
      <c r="W7" s="28" t="s">
        <v>48</v>
      </c>
      <c r="X7" s="28">
        <v>24</v>
      </c>
      <c r="Y7" s="5" t="s">
        <v>49</v>
      </c>
      <c r="Z7" s="5" t="s">
        <v>50</v>
      </c>
      <c r="AA7" s="28">
        <v>27</v>
      </c>
      <c r="AB7" s="28">
        <v>28</v>
      </c>
      <c r="AC7" s="6">
        <v>29</v>
      </c>
    </row>
    <row r="8" spans="1:29" s="3" customFormat="1">
      <c r="A8" s="7">
        <v>1</v>
      </c>
      <c r="B8" s="8" t="s">
        <v>5</v>
      </c>
      <c r="C8" s="29">
        <v>3000</v>
      </c>
      <c r="D8" s="29">
        <f>31+414</f>
        <v>445</v>
      </c>
      <c r="E8" s="29">
        <v>12</v>
      </c>
      <c r="F8" s="21">
        <v>1.018</v>
      </c>
      <c r="G8" s="23">
        <f>C8*D8*E8*F8</f>
        <v>16308360</v>
      </c>
      <c r="H8" s="29">
        <v>2500</v>
      </c>
      <c r="I8" s="29">
        <v>0</v>
      </c>
      <c r="J8" s="29">
        <v>12</v>
      </c>
      <c r="K8" s="21">
        <v>1.018</v>
      </c>
      <c r="L8" s="23">
        <f>H8*I8*J8*K8</f>
        <v>0</v>
      </c>
      <c r="M8" s="29">
        <v>2200</v>
      </c>
      <c r="N8" s="29">
        <v>3</v>
      </c>
      <c r="O8" s="29">
        <v>12</v>
      </c>
      <c r="P8" s="21">
        <v>1.018</v>
      </c>
      <c r="Q8" s="23">
        <f>M8*N8*O8*P8</f>
        <v>80625.600000000006</v>
      </c>
      <c r="R8" s="25">
        <f>ROUND(G8+L8+Q8,0)</f>
        <v>16388986</v>
      </c>
      <c r="S8" s="9">
        <f>ROUND(R8*95/100,0)</f>
        <v>15569537</v>
      </c>
      <c r="T8" s="9">
        <f>ROUND(R8*5/100,0)</f>
        <v>819449</v>
      </c>
      <c r="U8" s="25">
        <f>R8</f>
        <v>16388986</v>
      </c>
      <c r="V8" s="9">
        <f>S8</f>
        <v>15569537</v>
      </c>
      <c r="W8" s="9">
        <f>T8</f>
        <v>819449</v>
      </c>
      <c r="X8" s="25">
        <f>R8</f>
        <v>16388986</v>
      </c>
      <c r="Y8" s="9">
        <f>S8</f>
        <v>15569537</v>
      </c>
      <c r="Z8" s="9">
        <f>T8</f>
        <v>819449</v>
      </c>
      <c r="AA8" s="9">
        <f>ROUND(S8*$AA$40,0)</f>
        <v>9323048</v>
      </c>
      <c r="AB8" s="9">
        <f>ROUND(V8*$AA$41,0)</f>
        <v>9323048</v>
      </c>
      <c r="AC8" s="9">
        <f>AB8</f>
        <v>9323048</v>
      </c>
    </row>
    <row r="9" spans="1:29" s="3" customFormat="1">
      <c r="A9" s="7">
        <v>2</v>
      </c>
      <c r="B9" s="8" t="s">
        <v>6</v>
      </c>
      <c r="C9" s="29">
        <v>3000</v>
      </c>
      <c r="D9" s="29">
        <f>17+326</f>
        <v>343</v>
      </c>
      <c r="E9" s="29">
        <v>12</v>
      </c>
      <c r="F9" s="21">
        <v>1.018</v>
      </c>
      <c r="G9" s="23">
        <f t="shared" ref="G9:G35" si="0">C9*D9*E9*F9</f>
        <v>12570264</v>
      </c>
      <c r="H9" s="29">
        <v>2500</v>
      </c>
      <c r="I9" s="29">
        <v>2</v>
      </c>
      <c r="J9" s="29">
        <v>12</v>
      </c>
      <c r="K9" s="21">
        <v>1.018</v>
      </c>
      <c r="L9" s="23">
        <f t="shared" ref="L9:L35" si="1">H9*I9*J9*K9</f>
        <v>61080</v>
      </c>
      <c r="M9" s="29">
        <v>2200</v>
      </c>
      <c r="N9" s="29">
        <v>3</v>
      </c>
      <c r="O9" s="29">
        <v>12</v>
      </c>
      <c r="P9" s="21">
        <v>1.018</v>
      </c>
      <c r="Q9" s="23">
        <f t="shared" ref="Q9:Q35" si="2">M9*N9*O9*P9</f>
        <v>80625.600000000006</v>
      </c>
      <c r="R9" s="25">
        <f t="shared" ref="R9:R35" si="3">ROUND(G9+L9+Q9,0)</f>
        <v>12711970</v>
      </c>
      <c r="S9" s="9">
        <f>ROUND(R9*95/100,0)-2</f>
        <v>12076370</v>
      </c>
      <c r="T9" s="9">
        <f>ROUND(R9*5/100,0)+1</f>
        <v>635600</v>
      </c>
      <c r="U9" s="25">
        <f t="shared" ref="U9:W35" si="4">R9</f>
        <v>12711970</v>
      </c>
      <c r="V9" s="9">
        <f t="shared" si="4"/>
        <v>12076370</v>
      </c>
      <c r="W9" s="9">
        <f t="shared" si="4"/>
        <v>635600</v>
      </c>
      <c r="X9" s="25">
        <f t="shared" ref="X9:Z35" si="5">R9</f>
        <v>12711970</v>
      </c>
      <c r="Y9" s="9">
        <f t="shared" si="5"/>
        <v>12076370</v>
      </c>
      <c r="Z9" s="9">
        <f t="shared" si="5"/>
        <v>635600</v>
      </c>
      <c r="AA9" s="9">
        <f>ROUND(S9*$AA$40,0)+1</f>
        <v>7231339</v>
      </c>
      <c r="AB9" s="9">
        <f>ROUND(V9*$AA$41,0)+1</f>
        <v>7231339</v>
      </c>
      <c r="AC9" s="9">
        <f t="shared" ref="AC9:AC35" si="6">AB9</f>
        <v>7231339</v>
      </c>
    </row>
    <row r="10" spans="1:29" s="3" customFormat="1">
      <c r="A10" s="7">
        <v>3</v>
      </c>
      <c r="B10" s="8" t="s">
        <v>7</v>
      </c>
      <c r="C10" s="29">
        <v>3000</v>
      </c>
      <c r="D10" s="29">
        <f>36+506</f>
        <v>542</v>
      </c>
      <c r="E10" s="29">
        <v>12</v>
      </c>
      <c r="F10" s="21">
        <v>1.018</v>
      </c>
      <c r="G10" s="23">
        <f t="shared" si="0"/>
        <v>19863216</v>
      </c>
      <c r="H10" s="29">
        <v>2500</v>
      </c>
      <c r="I10" s="29">
        <v>5</v>
      </c>
      <c r="J10" s="29">
        <v>12</v>
      </c>
      <c r="K10" s="21">
        <v>1.018</v>
      </c>
      <c r="L10" s="23">
        <f t="shared" si="1"/>
        <v>152700</v>
      </c>
      <c r="M10" s="29">
        <v>2200</v>
      </c>
      <c r="N10" s="29">
        <v>8</v>
      </c>
      <c r="O10" s="29">
        <v>12</v>
      </c>
      <c r="P10" s="21">
        <v>1.018</v>
      </c>
      <c r="Q10" s="23">
        <f t="shared" si="2"/>
        <v>215001.60000000001</v>
      </c>
      <c r="R10" s="25">
        <f t="shared" si="3"/>
        <v>20230918</v>
      </c>
      <c r="S10" s="9">
        <f t="shared" ref="S10:S34" si="7">ROUND(R10*95/100,0)</f>
        <v>19219372</v>
      </c>
      <c r="T10" s="9">
        <f>ROUND(R10*5/100,0)</f>
        <v>1011546</v>
      </c>
      <c r="U10" s="25">
        <f t="shared" si="4"/>
        <v>20230918</v>
      </c>
      <c r="V10" s="9">
        <f t="shared" si="4"/>
        <v>19219372</v>
      </c>
      <c r="W10" s="9">
        <f t="shared" si="4"/>
        <v>1011546</v>
      </c>
      <c r="X10" s="25">
        <f t="shared" si="5"/>
        <v>20230918</v>
      </c>
      <c r="Y10" s="9">
        <f t="shared" si="5"/>
        <v>19219372</v>
      </c>
      <c r="Z10" s="9">
        <f t="shared" si="5"/>
        <v>1011546</v>
      </c>
      <c r="AA10" s="9">
        <f t="shared" ref="AA10:AA34" si="8">ROUND(S10*$AA$40,0)</f>
        <v>11508572</v>
      </c>
      <c r="AB10" s="9">
        <f t="shared" ref="AB10:AB34" si="9">ROUND(V10*$AA$41,0)</f>
        <v>11508572</v>
      </c>
      <c r="AC10" s="9">
        <f t="shared" si="6"/>
        <v>11508572</v>
      </c>
    </row>
    <row r="11" spans="1:29" s="3" customFormat="1">
      <c r="A11" s="7">
        <v>4</v>
      </c>
      <c r="B11" s="8" t="s">
        <v>8</v>
      </c>
      <c r="C11" s="29">
        <v>3000</v>
      </c>
      <c r="D11" s="29">
        <f>30+385</f>
        <v>415</v>
      </c>
      <c r="E11" s="29">
        <v>12</v>
      </c>
      <c r="F11" s="21">
        <v>1.018</v>
      </c>
      <c r="G11" s="23">
        <f t="shared" si="0"/>
        <v>15208920</v>
      </c>
      <c r="H11" s="29">
        <v>2500</v>
      </c>
      <c r="I11" s="29">
        <v>0</v>
      </c>
      <c r="J11" s="29">
        <v>12</v>
      </c>
      <c r="K11" s="21">
        <v>1.018</v>
      </c>
      <c r="L11" s="23">
        <f t="shared" si="1"/>
        <v>0</v>
      </c>
      <c r="M11" s="29">
        <v>2200</v>
      </c>
      <c r="N11" s="29">
        <v>0</v>
      </c>
      <c r="O11" s="29">
        <v>12</v>
      </c>
      <c r="P11" s="21">
        <v>1.018</v>
      </c>
      <c r="Q11" s="23">
        <f t="shared" si="2"/>
        <v>0</v>
      </c>
      <c r="R11" s="25">
        <f t="shared" si="3"/>
        <v>15208920</v>
      </c>
      <c r="S11" s="9">
        <f t="shared" si="7"/>
        <v>14448474</v>
      </c>
      <c r="T11" s="9">
        <f t="shared" ref="T11:T34" si="10">ROUND(R11*5/100,0)</f>
        <v>760446</v>
      </c>
      <c r="U11" s="25">
        <f t="shared" si="4"/>
        <v>15208920</v>
      </c>
      <c r="V11" s="9">
        <f t="shared" si="4"/>
        <v>14448474</v>
      </c>
      <c r="W11" s="9">
        <f t="shared" si="4"/>
        <v>760446</v>
      </c>
      <c r="X11" s="25">
        <f t="shared" si="5"/>
        <v>15208920</v>
      </c>
      <c r="Y11" s="9">
        <f t="shared" si="5"/>
        <v>14448474</v>
      </c>
      <c r="Z11" s="9">
        <f t="shared" si="5"/>
        <v>760446</v>
      </c>
      <c r="AA11" s="9">
        <f t="shared" si="8"/>
        <v>8651755</v>
      </c>
      <c r="AB11" s="9">
        <f t="shared" si="9"/>
        <v>8651755</v>
      </c>
      <c r="AC11" s="9">
        <f t="shared" si="6"/>
        <v>8651755</v>
      </c>
    </row>
    <row r="12" spans="1:29" s="3" customFormat="1">
      <c r="A12" s="7">
        <v>5</v>
      </c>
      <c r="B12" s="10" t="s">
        <v>9</v>
      </c>
      <c r="C12" s="29">
        <v>3000</v>
      </c>
      <c r="D12" s="29">
        <f>7+144</f>
        <v>151</v>
      </c>
      <c r="E12" s="29">
        <v>12</v>
      </c>
      <c r="F12" s="21">
        <v>1.018</v>
      </c>
      <c r="G12" s="23">
        <f t="shared" si="0"/>
        <v>5533848</v>
      </c>
      <c r="H12" s="29">
        <v>2500</v>
      </c>
      <c r="I12" s="29">
        <v>1</v>
      </c>
      <c r="J12" s="29">
        <v>12</v>
      </c>
      <c r="K12" s="21">
        <v>1.018</v>
      </c>
      <c r="L12" s="23">
        <f t="shared" si="1"/>
        <v>30540</v>
      </c>
      <c r="M12" s="29">
        <v>2200</v>
      </c>
      <c r="N12" s="29">
        <v>3</v>
      </c>
      <c r="O12" s="29">
        <v>12</v>
      </c>
      <c r="P12" s="21">
        <v>1.018</v>
      </c>
      <c r="Q12" s="23">
        <f t="shared" si="2"/>
        <v>80625.600000000006</v>
      </c>
      <c r="R12" s="25">
        <f t="shared" si="3"/>
        <v>5645014</v>
      </c>
      <c r="S12" s="9">
        <f t="shared" si="7"/>
        <v>5362763</v>
      </c>
      <c r="T12" s="9">
        <f t="shared" si="10"/>
        <v>282251</v>
      </c>
      <c r="U12" s="25">
        <f t="shared" si="4"/>
        <v>5645014</v>
      </c>
      <c r="V12" s="9">
        <f t="shared" si="4"/>
        <v>5362763</v>
      </c>
      <c r="W12" s="9">
        <f t="shared" si="4"/>
        <v>282251</v>
      </c>
      <c r="X12" s="25">
        <f t="shared" si="5"/>
        <v>5645014</v>
      </c>
      <c r="Y12" s="9">
        <f t="shared" si="5"/>
        <v>5362763</v>
      </c>
      <c r="Z12" s="9">
        <f t="shared" si="5"/>
        <v>282251</v>
      </c>
      <c r="AA12" s="9">
        <f t="shared" si="8"/>
        <v>3211226</v>
      </c>
      <c r="AB12" s="9">
        <f t="shared" si="9"/>
        <v>3211226</v>
      </c>
      <c r="AC12" s="9">
        <f t="shared" si="6"/>
        <v>3211226</v>
      </c>
    </row>
    <row r="13" spans="1:29" s="3" customFormat="1">
      <c r="A13" s="7">
        <v>6</v>
      </c>
      <c r="B13" s="10" t="s">
        <v>10</v>
      </c>
      <c r="C13" s="29">
        <v>3000</v>
      </c>
      <c r="D13" s="29">
        <f>18+240</f>
        <v>258</v>
      </c>
      <c r="E13" s="29">
        <v>12</v>
      </c>
      <c r="F13" s="21">
        <v>1.018</v>
      </c>
      <c r="G13" s="23">
        <f t="shared" si="0"/>
        <v>9455184</v>
      </c>
      <c r="H13" s="29">
        <v>2500</v>
      </c>
      <c r="I13" s="29">
        <v>1</v>
      </c>
      <c r="J13" s="29">
        <v>12</v>
      </c>
      <c r="K13" s="21">
        <v>1.018</v>
      </c>
      <c r="L13" s="23">
        <f t="shared" si="1"/>
        <v>30540</v>
      </c>
      <c r="M13" s="29">
        <v>2200</v>
      </c>
      <c r="N13" s="29">
        <v>4</v>
      </c>
      <c r="O13" s="29">
        <v>12</v>
      </c>
      <c r="P13" s="21">
        <v>1.018</v>
      </c>
      <c r="Q13" s="23">
        <f t="shared" si="2"/>
        <v>107500.8</v>
      </c>
      <c r="R13" s="25">
        <f t="shared" si="3"/>
        <v>9593225</v>
      </c>
      <c r="S13" s="9">
        <f t="shared" si="7"/>
        <v>9113564</v>
      </c>
      <c r="T13" s="9">
        <f t="shared" si="10"/>
        <v>479661</v>
      </c>
      <c r="U13" s="25">
        <f t="shared" si="4"/>
        <v>9593225</v>
      </c>
      <c r="V13" s="9">
        <f t="shared" si="4"/>
        <v>9113564</v>
      </c>
      <c r="W13" s="9">
        <f t="shared" si="4"/>
        <v>479661</v>
      </c>
      <c r="X13" s="25">
        <f t="shared" si="5"/>
        <v>9593225</v>
      </c>
      <c r="Y13" s="9">
        <f t="shared" si="5"/>
        <v>9113564</v>
      </c>
      <c r="Z13" s="9">
        <f t="shared" si="5"/>
        <v>479661</v>
      </c>
      <c r="AA13" s="9">
        <f t="shared" si="8"/>
        <v>5457208</v>
      </c>
      <c r="AB13" s="9">
        <f t="shared" si="9"/>
        <v>5457208</v>
      </c>
      <c r="AC13" s="9">
        <f t="shared" si="6"/>
        <v>5457208</v>
      </c>
    </row>
    <row r="14" spans="1:29" s="3" customFormat="1">
      <c r="A14" s="7">
        <v>7</v>
      </c>
      <c r="B14" s="10" t="s">
        <v>11</v>
      </c>
      <c r="C14" s="29">
        <v>3000</v>
      </c>
      <c r="D14" s="29">
        <f>16+465</f>
        <v>481</v>
      </c>
      <c r="E14" s="29">
        <v>12</v>
      </c>
      <c r="F14" s="21">
        <v>1.018</v>
      </c>
      <c r="G14" s="23">
        <f t="shared" si="0"/>
        <v>17627688</v>
      </c>
      <c r="H14" s="29">
        <v>2500</v>
      </c>
      <c r="I14" s="29">
        <v>1</v>
      </c>
      <c r="J14" s="29">
        <v>12</v>
      </c>
      <c r="K14" s="21">
        <v>1.018</v>
      </c>
      <c r="L14" s="23">
        <f t="shared" si="1"/>
        <v>30540</v>
      </c>
      <c r="M14" s="29">
        <v>2200</v>
      </c>
      <c r="N14" s="29">
        <v>4</v>
      </c>
      <c r="O14" s="29">
        <v>12</v>
      </c>
      <c r="P14" s="21">
        <v>1.018</v>
      </c>
      <c r="Q14" s="23">
        <f t="shared" si="2"/>
        <v>107500.8</v>
      </c>
      <c r="R14" s="25">
        <f t="shared" si="3"/>
        <v>17765729</v>
      </c>
      <c r="S14" s="9">
        <f t="shared" si="7"/>
        <v>16877443</v>
      </c>
      <c r="T14" s="9">
        <f t="shared" si="10"/>
        <v>888286</v>
      </c>
      <c r="U14" s="25">
        <f t="shared" si="4"/>
        <v>17765729</v>
      </c>
      <c r="V14" s="9">
        <f t="shared" si="4"/>
        <v>16877443</v>
      </c>
      <c r="W14" s="9">
        <f t="shared" si="4"/>
        <v>888286</v>
      </c>
      <c r="X14" s="25">
        <f t="shared" si="5"/>
        <v>17765729</v>
      </c>
      <c r="Y14" s="9">
        <f t="shared" si="5"/>
        <v>16877443</v>
      </c>
      <c r="Z14" s="9">
        <f t="shared" si="5"/>
        <v>888286</v>
      </c>
      <c r="AA14" s="9">
        <f t="shared" si="8"/>
        <v>10106223</v>
      </c>
      <c r="AB14" s="9">
        <f>ROUND(V14*$AA$41,0)</f>
        <v>10106223</v>
      </c>
      <c r="AC14" s="9">
        <f t="shared" si="6"/>
        <v>10106223</v>
      </c>
    </row>
    <row r="15" spans="1:29" s="3" customFormat="1">
      <c r="A15" s="7">
        <v>8</v>
      </c>
      <c r="B15" s="10" t="s">
        <v>12</v>
      </c>
      <c r="C15" s="29">
        <v>3000</v>
      </c>
      <c r="D15" s="29">
        <f>25+390</f>
        <v>415</v>
      </c>
      <c r="E15" s="29">
        <v>12</v>
      </c>
      <c r="F15" s="21">
        <v>1.018</v>
      </c>
      <c r="G15" s="23">
        <f t="shared" si="0"/>
        <v>15208920</v>
      </c>
      <c r="H15" s="29">
        <v>2500</v>
      </c>
      <c r="I15" s="29">
        <v>4</v>
      </c>
      <c r="J15" s="29">
        <v>12</v>
      </c>
      <c r="K15" s="21">
        <v>1.018</v>
      </c>
      <c r="L15" s="23">
        <f t="shared" si="1"/>
        <v>122160</v>
      </c>
      <c r="M15" s="29">
        <v>2200</v>
      </c>
      <c r="N15" s="29">
        <v>9</v>
      </c>
      <c r="O15" s="29">
        <v>12</v>
      </c>
      <c r="P15" s="21">
        <v>1.018</v>
      </c>
      <c r="Q15" s="23">
        <f t="shared" si="2"/>
        <v>241876.80000000002</v>
      </c>
      <c r="R15" s="25">
        <f t="shared" si="3"/>
        <v>15572957</v>
      </c>
      <c r="S15" s="9">
        <f t="shared" si="7"/>
        <v>14794309</v>
      </c>
      <c r="T15" s="9">
        <f t="shared" si="10"/>
        <v>778648</v>
      </c>
      <c r="U15" s="25">
        <f t="shared" si="4"/>
        <v>15572957</v>
      </c>
      <c r="V15" s="9">
        <f t="shared" si="4"/>
        <v>14794309</v>
      </c>
      <c r="W15" s="9">
        <f t="shared" si="4"/>
        <v>778648</v>
      </c>
      <c r="X15" s="25">
        <f t="shared" si="5"/>
        <v>15572957</v>
      </c>
      <c r="Y15" s="9">
        <f t="shared" si="5"/>
        <v>14794309</v>
      </c>
      <c r="Z15" s="9">
        <f t="shared" si="5"/>
        <v>778648</v>
      </c>
      <c r="AA15" s="9">
        <f t="shared" si="8"/>
        <v>8858841</v>
      </c>
      <c r="AB15" s="9">
        <f t="shared" si="9"/>
        <v>8858841</v>
      </c>
      <c r="AC15" s="9">
        <f t="shared" si="6"/>
        <v>8858841</v>
      </c>
    </row>
    <row r="16" spans="1:29" s="3" customFormat="1">
      <c r="A16" s="7">
        <v>9</v>
      </c>
      <c r="B16" s="10" t="s">
        <v>13</v>
      </c>
      <c r="C16" s="29">
        <v>3000</v>
      </c>
      <c r="D16" s="29">
        <f>11+196</f>
        <v>207</v>
      </c>
      <c r="E16" s="29">
        <v>12</v>
      </c>
      <c r="F16" s="21">
        <v>1.018</v>
      </c>
      <c r="G16" s="23">
        <f t="shared" si="0"/>
        <v>7586136</v>
      </c>
      <c r="H16" s="29">
        <v>2500</v>
      </c>
      <c r="I16" s="29">
        <v>0</v>
      </c>
      <c r="J16" s="29">
        <v>12</v>
      </c>
      <c r="K16" s="21">
        <v>1.018</v>
      </c>
      <c r="L16" s="23">
        <f t="shared" si="1"/>
        <v>0</v>
      </c>
      <c r="M16" s="29">
        <v>2200</v>
      </c>
      <c r="N16" s="29">
        <v>2</v>
      </c>
      <c r="O16" s="29">
        <v>12</v>
      </c>
      <c r="P16" s="21">
        <v>1.018</v>
      </c>
      <c r="Q16" s="23">
        <f t="shared" si="2"/>
        <v>53750.400000000001</v>
      </c>
      <c r="R16" s="25">
        <f t="shared" si="3"/>
        <v>7639886</v>
      </c>
      <c r="S16" s="9">
        <f t="shared" si="7"/>
        <v>7257892</v>
      </c>
      <c r="T16" s="9">
        <f t="shared" si="10"/>
        <v>381994</v>
      </c>
      <c r="U16" s="25">
        <f t="shared" si="4"/>
        <v>7639886</v>
      </c>
      <c r="V16" s="9">
        <f t="shared" si="4"/>
        <v>7257892</v>
      </c>
      <c r="W16" s="9">
        <f t="shared" si="4"/>
        <v>381994</v>
      </c>
      <c r="X16" s="25">
        <f t="shared" si="5"/>
        <v>7639886</v>
      </c>
      <c r="Y16" s="9">
        <f t="shared" si="5"/>
        <v>7257892</v>
      </c>
      <c r="Z16" s="9">
        <f t="shared" si="5"/>
        <v>381994</v>
      </c>
      <c r="AA16" s="9">
        <f t="shared" si="8"/>
        <v>4346030</v>
      </c>
      <c r="AB16" s="9">
        <f t="shared" si="9"/>
        <v>4346030</v>
      </c>
      <c r="AC16" s="9">
        <f t="shared" si="6"/>
        <v>4346030</v>
      </c>
    </row>
    <row r="17" spans="1:29" s="3" customFormat="1">
      <c r="A17" s="7">
        <v>10</v>
      </c>
      <c r="B17" s="10" t="s">
        <v>14</v>
      </c>
      <c r="C17" s="29">
        <v>3000</v>
      </c>
      <c r="D17" s="29">
        <f>21+429</f>
        <v>450</v>
      </c>
      <c r="E17" s="29">
        <v>12</v>
      </c>
      <c r="F17" s="21">
        <v>1.018</v>
      </c>
      <c r="G17" s="23">
        <f t="shared" si="0"/>
        <v>16491600</v>
      </c>
      <c r="H17" s="29">
        <v>2500</v>
      </c>
      <c r="I17" s="29">
        <v>3</v>
      </c>
      <c r="J17" s="29">
        <v>12</v>
      </c>
      <c r="K17" s="21">
        <v>1.018</v>
      </c>
      <c r="L17" s="23">
        <f t="shared" si="1"/>
        <v>91620</v>
      </c>
      <c r="M17" s="29">
        <v>2200</v>
      </c>
      <c r="N17" s="29">
        <v>7</v>
      </c>
      <c r="O17" s="29">
        <v>12</v>
      </c>
      <c r="P17" s="21">
        <v>1.018</v>
      </c>
      <c r="Q17" s="23">
        <f t="shared" si="2"/>
        <v>188126.4</v>
      </c>
      <c r="R17" s="25">
        <f t="shared" si="3"/>
        <v>16771346</v>
      </c>
      <c r="S17" s="9">
        <f>ROUND(R17*95/100,0)</f>
        <v>15932779</v>
      </c>
      <c r="T17" s="9">
        <f t="shared" si="10"/>
        <v>838567</v>
      </c>
      <c r="U17" s="25">
        <f t="shared" si="4"/>
        <v>16771346</v>
      </c>
      <c r="V17" s="9">
        <f t="shared" si="4"/>
        <v>15932779</v>
      </c>
      <c r="W17" s="9">
        <f t="shared" si="4"/>
        <v>838567</v>
      </c>
      <c r="X17" s="25">
        <f t="shared" si="5"/>
        <v>16771346</v>
      </c>
      <c r="Y17" s="9">
        <f t="shared" si="5"/>
        <v>15932779</v>
      </c>
      <c r="Z17" s="9">
        <f t="shared" si="5"/>
        <v>838567</v>
      </c>
      <c r="AA17" s="9">
        <f t="shared" si="8"/>
        <v>9540558</v>
      </c>
      <c r="AB17" s="9">
        <f t="shared" si="9"/>
        <v>9540558</v>
      </c>
      <c r="AC17" s="9">
        <f t="shared" si="6"/>
        <v>9540558</v>
      </c>
    </row>
    <row r="18" spans="1:29" s="3" customFormat="1">
      <c r="A18" s="7">
        <v>11</v>
      </c>
      <c r="B18" s="10" t="s">
        <v>15</v>
      </c>
      <c r="C18" s="29">
        <v>3000</v>
      </c>
      <c r="D18" s="29">
        <f>77+699</f>
        <v>776</v>
      </c>
      <c r="E18" s="29">
        <v>12</v>
      </c>
      <c r="F18" s="21">
        <v>1.018</v>
      </c>
      <c r="G18" s="23">
        <f t="shared" si="0"/>
        <v>28438848</v>
      </c>
      <c r="H18" s="29">
        <v>2500</v>
      </c>
      <c r="I18" s="29">
        <v>8</v>
      </c>
      <c r="J18" s="29">
        <v>12</v>
      </c>
      <c r="K18" s="21">
        <v>1.018</v>
      </c>
      <c r="L18" s="23">
        <f t="shared" si="1"/>
        <v>244320</v>
      </c>
      <c r="M18" s="29">
        <v>2200</v>
      </c>
      <c r="N18" s="29">
        <v>7</v>
      </c>
      <c r="O18" s="29">
        <v>12</v>
      </c>
      <c r="P18" s="21">
        <v>1.018</v>
      </c>
      <c r="Q18" s="23">
        <f t="shared" si="2"/>
        <v>188126.4</v>
      </c>
      <c r="R18" s="25">
        <f t="shared" si="3"/>
        <v>28871294</v>
      </c>
      <c r="S18" s="9">
        <f t="shared" si="7"/>
        <v>27427729</v>
      </c>
      <c r="T18" s="9">
        <f t="shared" si="10"/>
        <v>1443565</v>
      </c>
      <c r="U18" s="25">
        <f t="shared" si="4"/>
        <v>28871294</v>
      </c>
      <c r="V18" s="9">
        <f t="shared" si="4"/>
        <v>27427729</v>
      </c>
      <c r="W18" s="9">
        <f t="shared" si="4"/>
        <v>1443565</v>
      </c>
      <c r="X18" s="25">
        <f t="shared" si="5"/>
        <v>28871294</v>
      </c>
      <c r="Y18" s="9">
        <f t="shared" si="5"/>
        <v>27427729</v>
      </c>
      <c r="Z18" s="9">
        <f t="shared" si="5"/>
        <v>1443565</v>
      </c>
      <c r="AA18" s="9">
        <f t="shared" si="8"/>
        <v>16423741</v>
      </c>
      <c r="AB18" s="9">
        <f t="shared" si="9"/>
        <v>16423741</v>
      </c>
      <c r="AC18" s="9">
        <f t="shared" si="6"/>
        <v>16423741</v>
      </c>
    </row>
    <row r="19" spans="1:29" s="3" customFormat="1">
      <c r="A19" s="7">
        <v>12</v>
      </c>
      <c r="B19" s="10" t="s">
        <v>16</v>
      </c>
      <c r="C19" s="29">
        <v>3000</v>
      </c>
      <c r="D19" s="29">
        <f>17+270</f>
        <v>287</v>
      </c>
      <c r="E19" s="29">
        <v>12</v>
      </c>
      <c r="F19" s="21">
        <v>1.018</v>
      </c>
      <c r="G19" s="23">
        <f t="shared" si="0"/>
        <v>10517976</v>
      </c>
      <c r="H19" s="29">
        <v>2500</v>
      </c>
      <c r="I19" s="29">
        <v>5</v>
      </c>
      <c r="J19" s="29">
        <v>12</v>
      </c>
      <c r="K19" s="21">
        <v>1.018</v>
      </c>
      <c r="L19" s="23">
        <f t="shared" si="1"/>
        <v>152700</v>
      </c>
      <c r="M19" s="29">
        <v>2200</v>
      </c>
      <c r="N19" s="29">
        <v>4</v>
      </c>
      <c r="O19" s="29">
        <v>12</v>
      </c>
      <c r="P19" s="21">
        <v>1.018</v>
      </c>
      <c r="Q19" s="23">
        <f t="shared" si="2"/>
        <v>107500.8</v>
      </c>
      <c r="R19" s="25">
        <f t="shared" si="3"/>
        <v>10778177</v>
      </c>
      <c r="S19" s="9">
        <f t="shared" si="7"/>
        <v>10239268</v>
      </c>
      <c r="T19" s="9">
        <f t="shared" si="10"/>
        <v>538909</v>
      </c>
      <c r="U19" s="25">
        <f t="shared" si="4"/>
        <v>10778177</v>
      </c>
      <c r="V19" s="9">
        <f t="shared" si="4"/>
        <v>10239268</v>
      </c>
      <c r="W19" s="9">
        <f t="shared" si="4"/>
        <v>538909</v>
      </c>
      <c r="X19" s="25">
        <f t="shared" si="5"/>
        <v>10778177</v>
      </c>
      <c r="Y19" s="9">
        <f t="shared" si="5"/>
        <v>10239268</v>
      </c>
      <c r="Z19" s="9">
        <f t="shared" si="5"/>
        <v>538909</v>
      </c>
      <c r="AA19" s="9">
        <f t="shared" si="8"/>
        <v>6131280</v>
      </c>
      <c r="AB19" s="9">
        <f t="shared" si="9"/>
        <v>6131280</v>
      </c>
      <c r="AC19" s="9">
        <f t="shared" si="6"/>
        <v>6131280</v>
      </c>
    </row>
    <row r="20" spans="1:29" s="3" customFormat="1">
      <c r="A20" s="7">
        <v>13</v>
      </c>
      <c r="B20" s="10" t="s">
        <v>17</v>
      </c>
      <c r="C20" s="29">
        <v>3000</v>
      </c>
      <c r="D20" s="29">
        <f>36+321</f>
        <v>357</v>
      </c>
      <c r="E20" s="29">
        <v>12</v>
      </c>
      <c r="F20" s="21">
        <v>1.018</v>
      </c>
      <c r="G20" s="23">
        <f t="shared" si="0"/>
        <v>13083336</v>
      </c>
      <c r="H20" s="29">
        <v>2500</v>
      </c>
      <c r="I20" s="29">
        <v>1</v>
      </c>
      <c r="J20" s="29">
        <v>12</v>
      </c>
      <c r="K20" s="21">
        <v>1.018</v>
      </c>
      <c r="L20" s="23">
        <f t="shared" si="1"/>
        <v>30540</v>
      </c>
      <c r="M20" s="29">
        <v>2200</v>
      </c>
      <c r="N20" s="29">
        <v>4</v>
      </c>
      <c r="O20" s="29">
        <v>12</v>
      </c>
      <c r="P20" s="21">
        <v>1.018</v>
      </c>
      <c r="Q20" s="23">
        <f t="shared" si="2"/>
        <v>107500.8</v>
      </c>
      <c r="R20" s="25">
        <f t="shared" si="3"/>
        <v>13221377</v>
      </c>
      <c r="S20" s="9">
        <f t="shared" si="7"/>
        <v>12560308</v>
      </c>
      <c r="T20" s="9">
        <f t="shared" si="10"/>
        <v>661069</v>
      </c>
      <c r="U20" s="25">
        <f t="shared" si="4"/>
        <v>13221377</v>
      </c>
      <c r="V20" s="9">
        <f t="shared" si="4"/>
        <v>12560308</v>
      </c>
      <c r="W20" s="9">
        <f t="shared" si="4"/>
        <v>661069</v>
      </c>
      <c r="X20" s="25">
        <f t="shared" si="5"/>
        <v>13221377</v>
      </c>
      <c r="Y20" s="9">
        <f t="shared" si="5"/>
        <v>12560308</v>
      </c>
      <c r="Z20" s="9">
        <f t="shared" si="5"/>
        <v>661069</v>
      </c>
      <c r="AA20" s="9">
        <f t="shared" si="8"/>
        <v>7521120</v>
      </c>
      <c r="AB20" s="9">
        <f t="shared" si="9"/>
        <v>7521120</v>
      </c>
      <c r="AC20" s="9">
        <f t="shared" si="6"/>
        <v>7521120</v>
      </c>
    </row>
    <row r="21" spans="1:29" s="3" customFormat="1">
      <c r="A21" s="7">
        <v>14</v>
      </c>
      <c r="B21" s="10" t="s">
        <v>18</v>
      </c>
      <c r="C21" s="29">
        <v>3000</v>
      </c>
      <c r="D21" s="29">
        <f>27+326</f>
        <v>353</v>
      </c>
      <c r="E21" s="29">
        <v>12</v>
      </c>
      <c r="F21" s="21">
        <v>1.018</v>
      </c>
      <c r="G21" s="23">
        <f t="shared" si="0"/>
        <v>12936744</v>
      </c>
      <c r="H21" s="29">
        <v>2500</v>
      </c>
      <c r="I21" s="29">
        <v>3</v>
      </c>
      <c r="J21" s="29">
        <v>12</v>
      </c>
      <c r="K21" s="21">
        <v>1.018</v>
      </c>
      <c r="L21" s="23">
        <f t="shared" si="1"/>
        <v>91620</v>
      </c>
      <c r="M21" s="29">
        <v>2200</v>
      </c>
      <c r="N21" s="29">
        <v>5</v>
      </c>
      <c r="O21" s="29">
        <v>12</v>
      </c>
      <c r="P21" s="21">
        <v>1.018</v>
      </c>
      <c r="Q21" s="23">
        <f t="shared" si="2"/>
        <v>134376</v>
      </c>
      <c r="R21" s="25">
        <f t="shared" si="3"/>
        <v>13162740</v>
      </c>
      <c r="S21" s="9">
        <f t="shared" si="7"/>
        <v>12504603</v>
      </c>
      <c r="T21" s="9">
        <f t="shared" si="10"/>
        <v>658137</v>
      </c>
      <c r="U21" s="25">
        <f t="shared" si="4"/>
        <v>13162740</v>
      </c>
      <c r="V21" s="9">
        <f t="shared" si="4"/>
        <v>12504603</v>
      </c>
      <c r="W21" s="9">
        <f t="shared" si="4"/>
        <v>658137</v>
      </c>
      <c r="X21" s="25">
        <f t="shared" si="5"/>
        <v>13162740</v>
      </c>
      <c r="Y21" s="9">
        <f t="shared" si="5"/>
        <v>12504603</v>
      </c>
      <c r="Z21" s="9">
        <f t="shared" si="5"/>
        <v>658137</v>
      </c>
      <c r="AA21" s="9">
        <f t="shared" si="8"/>
        <v>7487764</v>
      </c>
      <c r="AB21" s="9">
        <f t="shared" si="9"/>
        <v>7487764</v>
      </c>
      <c r="AC21" s="9">
        <f t="shared" si="6"/>
        <v>7487764</v>
      </c>
    </row>
    <row r="22" spans="1:29" s="3" customFormat="1">
      <c r="A22" s="7">
        <v>15</v>
      </c>
      <c r="B22" s="10" t="s">
        <v>19</v>
      </c>
      <c r="C22" s="29">
        <v>3000</v>
      </c>
      <c r="D22" s="29">
        <f>31+431</f>
        <v>462</v>
      </c>
      <c r="E22" s="29">
        <v>12</v>
      </c>
      <c r="F22" s="21">
        <v>1.018</v>
      </c>
      <c r="G22" s="23">
        <f t="shared" si="0"/>
        <v>16931376</v>
      </c>
      <c r="H22" s="29">
        <v>2500</v>
      </c>
      <c r="I22" s="29">
        <v>7</v>
      </c>
      <c r="J22" s="29">
        <v>12</v>
      </c>
      <c r="K22" s="21">
        <v>1.018</v>
      </c>
      <c r="L22" s="23">
        <f t="shared" si="1"/>
        <v>213780</v>
      </c>
      <c r="M22" s="29">
        <v>2200</v>
      </c>
      <c r="N22" s="29">
        <v>7</v>
      </c>
      <c r="O22" s="29">
        <v>12</v>
      </c>
      <c r="P22" s="21">
        <v>1.018</v>
      </c>
      <c r="Q22" s="23">
        <f t="shared" si="2"/>
        <v>188126.4</v>
      </c>
      <c r="R22" s="25">
        <f t="shared" si="3"/>
        <v>17333282</v>
      </c>
      <c r="S22" s="9">
        <f>ROUND(R22*95/100,0)</f>
        <v>16466618</v>
      </c>
      <c r="T22" s="9">
        <f>ROUND(R22*5/100,0)</f>
        <v>866664</v>
      </c>
      <c r="U22" s="25">
        <f t="shared" si="4"/>
        <v>17333282</v>
      </c>
      <c r="V22" s="9">
        <f t="shared" si="4"/>
        <v>16466618</v>
      </c>
      <c r="W22" s="9">
        <f t="shared" si="4"/>
        <v>866664</v>
      </c>
      <c r="X22" s="25">
        <f t="shared" si="5"/>
        <v>17333282</v>
      </c>
      <c r="Y22" s="9">
        <f t="shared" si="5"/>
        <v>16466618</v>
      </c>
      <c r="Z22" s="9">
        <f t="shared" si="5"/>
        <v>866664</v>
      </c>
      <c r="AA22" s="9">
        <f t="shared" si="8"/>
        <v>9860221</v>
      </c>
      <c r="AB22" s="9">
        <f t="shared" si="9"/>
        <v>9860221</v>
      </c>
      <c r="AC22" s="9">
        <f t="shared" si="6"/>
        <v>9860221</v>
      </c>
    </row>
    <row r="23" spans="1:29" s="3" customFormat="1">
      <c r="A23" s="7">
        <v>16</v>
      </c>
      <c r="B23" s="10" t="s">
        <v>20</v>
      </c>
      <c r="C23" s="29">
        <v>3000</v>
      </c>
      <c r="D23" s="29">
        <f>22+392</f>
        <v>414</v>
      </c>
      <c r="E23" s="29">
        <v>12</v>
      </c>
      <c r="F23" s="21">
        <v>1.018</v>
      </c>
      <c r="G23" s="23">
        <f t="shared" si="0"/>
        <v>15172272</v>
      </c>
      <c r="H23" s="29">
        <v>2500</v>
      </c>
      <c r="I23" s="29">
        <v>7</v>
      </c>
      <c r="J23" s="29">
        <v>12</v>
      </c>
      <c r="K23" s="21">
        <v>1.018</v>
      </c>
      <c r="L23" s="23">
        <f t="shared" si="1"/>
        <v>213780</v>
      </c>
      <c r="M23" s="29">
        <v>2200</v>
      </c>
      <c r="N23" s="29">
        <v>8</v>
      </c>
      <c r="O23" s="29">
        <v>12</v>
      </c>
      <c r="P23" s="21">
        <v>1.018</v>
      </c>
      <c r="Q23" s="23">
        <f t="shared" si="2"/>
        <v>215001.60000000001</v>
      </c>
      <c r="R23" s="25">
        <f t="shared" si="3"/>
        <v>15601054</v>
      </c>
      <c r="S23" s="9">
        <f>ROUND(R23*95/100,0)</f>
        <v>14821001</v>
      </c>
      <c r="T23" s="9">
        <f t="shared" si="10"/>
        <v>780053</v>
      </c>
      <c r="U23" s="25">
        <f t="shared" si="4"/>
        <v>15601054</v>
      </c>
      <c r="V23" s="9">
        <f t="shared" si="4"/>
        <v>14821001</v>
      </c>
      <c r="W23" s="9">
        <f t="shared" si="4"/>
        <v>780053</v>
      </c>
      <c r="X23" s="25">
        <f t="shared" si="5"/>
        <v>15601054</v>
      </c>
      <c r="Y23" s="9">
        <f t="shared" si="5"/>
        <v>14821001</v>
      </c>
      <c r="Z23" s="9">
        <f t="shared" si="5"/>
        <v>780053</v>
      </c>
      <c r="AA23" s="9">
        <f t="shared" si="8"/>
        <v>8874825</v>
      </c>
      <c r="AB23" s="9">
        <f t="shared" si="9"/>
        <v>8874825</v>
      </c>
      <c r="AC23" s="9">
        <f t="shared" si="6"/>
        <v>8874825</v>
      </c>
    </row>
    <row r="24" spans="1:29" s="3" customFormat="1">
      <c r="A24" s="7">
        <v>17</v>
      </c>
      <c r="B24" s="10" t="s">
        <v>21</v>
      </c>
      <c r="C24" s="29">
        <v>3000</v>
      </c>
      <c r="D24" s="29">
        <f>33+455</f>
        <v>488</v>
      </c>
      <c r="E24" s="29">
        <v>12</v>
      </c>
      <c r="F24" s="21">
        <v>1.018</v>
      </c>
      <c r="G24" s="23">
        <f t="shared" si="0"/>
        <v>17884224</v>
      </c>
      <c r="H24" s="29">
        <v>2500</v>
      </c>
      <c r="I24" s="29">
        <v>9</v>
      </c>
      <c r="J24" s="29">
        <v>12</v>
      </c>
      <c r="K24" s="21">
        <v>1.018</v>
      </c>
      <c r="L24" s="23">
        <f t="shared" si="1"/>
        <v>274860</v>
      </c>
      <c r="M24" s="29">
        <v>2200</v>
      </c>
      <c r="N24" s="29">
        <v>8</v>
      </c>
      <c r="O24" s="29">
        <v>12</v>
      </c>
      <c r="P24" s="21">
        <v>1.018</v>
      </c>
      <c r="Q24" s="23">
        <f t="shared" si="2"/>
        <v>215001.60000000001</v>
      </c>
      <c r="R24" s="25">
        <f t="shared" si="3"/>
        <v>18374086</v>
      </c>
      <c r="S24" s="9">
        <f t="shared" si="7"/>
        <v>17455382</v>
      </c>
      <c r="T24" s="9">
        <f t="shared" si="10"/>
        <v>918704</v>
      </c>
      <c r="U24" s="25">
        <f t="shared" si="4"/>
        <v>18374086</v>
      </c>
      <c r="V24" s="9">
        <f t="shared" si="4"/>
        <v>17455382</v>
      </c>
      <c r="W24" s="9">
        <f t="shared" si="4"/>
        <v>918704</v>
      </c>
      <c r="X24" s="25">
        <f t="shared" si="5"/>
        <v>18374086</v>
      </c>
      <c r="Y24" s="9">
        <f t="shared" si="5"/>
        <v>17455382</v>
      </c>
      <c r="Z24" s="9">
        <f t="shared" si="5"/>
        <v>918704</v>
      </c>
      <c r="AA24" s="9">
        <f t="shared" si="8"/>
        <v>10452294</v>
      </c>
      <c r="AB24" s="9">
        <f t="shared" si="9"/>
        <v>10452294</v>
      </c>
      <c r="AC24" s="9">
        <f t="shared" si="6"/>
        <v>10452294</v>
      </c>
    </row>
    <row r="25" spans="1:29" s="3" customFormat="1">
      <c r="A25" s="7">
        <v>18</v>
      </c>
      <c r="B25" s="10" t="s">
        <v>22</v>
      </c>
      <c r="C25" s="29">
        <v>3000</v>
      </c>
      <c r="D25" s="29">
        <f>17+293</f>
        <v>310</v>
      </c>
      <c r="E25" s="29">
        <v>12</v>
      </c>
      <c r="F25" s="21">
        <v>1.018</v>
      </c>
      <c r="G25" s="23">
        <f t="shared" si="0"/>
        <v>11360880</v>
      </c>
      <c r="H25" s="29">
        <v>2500</v>
      </c>
      <c r="I25" s="29">
        <v>5</v>
      </c>
      <c r="J25" s="29">
        <v>12</v>
      </c>
      <c r="K25" s="21">
        <v>1.018</v>
      </c>
      <c r="L25" s="23">
        <f t="shared" si="1"/>
        <v>152700</v>
      </c>
      <c r="M25" s="29">
        <v>2200</v>
      </c>
      <c r="N25" s="29">
        <v>5</v>
      </c>
      <c r="O25" s="29">
        <v>12</v>
      </c>
      <c r="P25" s="21">
        <v>1.018</v>
      </c>
      <c r="Q25" s="23">
        <f t="shared" si="2"/>
        <v>134376</v>
      </c>
      <c r="R25" s="25">
        <f t="shared" si="3"/>
        <v>11647956</v>
      </c>
      <c r="S25" s="9">
        <f t="shared" si="7"/>
        <v>11065558</v>
      </c>
      <c r="T25" s="9">
        <f t="shared" si="10"/>
        <v>582398</v>
      </c>
      <c r="U25" s="25">
        <f t="shared" si="4"/>
        <v>11647956</v>
      </c>
      <c r="V25" s="9">
        <f t="shared" si="4"/>
        <v>11065558</v>
      </c>
      <c r="W25" s="9">
        <f t="shared" si="4"/>
        <v>582398</v>
      </c>
      <c r="X25" s="25">
        <f t="shared" si="5"/>
        <v>11647956</v>
      </c>
      <c r="Y25" s="9">
        <f t="shared" si="5"/>
        <v>11065558</v>
      </c>
      <c r="Z25" s="9">
        <f t="shared" si="5"/>
        <v>582398</v>
      </c>
      <c r="AA25" s="9">
        <f t="shared" si="8"/>
        <v>6626063</v>
      </c>
      <c r="AB25" s="9">
        <f t="shared" si="9"/>
        <v>6626063</v>
      </c>
      <c r="AC25" s="9">
        <f t="shared" si="6"/>
        <v>6626063</v>
      </c>
    </row>
    <row r="26" spans="1:29" s="3" customFormat="1">
      <c r="A26" s="7">
        <v>19</v>
      </c>
      <c r="B26" s="10" t="s">
        <v>23</v>
      </c>
      <c r="C26" s="29">
        <v>3000</v>
      </c>
      <c r="D26" s="29">
        <f>27+364</f>
        <v>391</v>
      </c>
      <c r="E26" s="29">
        <v>12</v>
      </c>
      <c r="F26" s="21">
        <v>1.018</v>
      </c>
      <c r="G26" s="23">
        <f t="shared" si="0"/>
        <v>14329368</v>
      </c>
      <c r="H26" s="29">
        <v>2500</v>
      </c>
      <c r="I26" s="29">
        <v>1</v>
      </c>
      <c r="J26" s="29">
        <v>12</v>
      </c>
      <c r="K26" s="21">
        <v>1.018</v>
      </c>
      <c r="L26" s="23">
        <f t="shared" si="1"/>
        <v>30540</v>
      </c>
      <c r="M26" s="29">
        <v>2200</v>
      </c>
      <c r="N26" s="29">
        <v>0</v>
      </c>
      <c r="O26" s="29">
        <v>12</v>
      </c>
      <c r="P26" s="21">
        <v>1.018</v>
      </c>
      <c r="Q26" s="23">
        <f t="shared" si="2"/>
        <v>0</v>
      </c>
      <c r="R26" s="25">
        <f t="shared" si="3"/>
        <v>14359908</v>
      </c>
      <c r="S26" s="9">
        <f t="shared" si="7"/>
        <v>13641913</v>
      </c>
      <c r="T26" s="9">
        <f t="shared" si="10"/>
        <v>717995</v>
      </c>
      <c r="U26" s="25">
        <f t="shared" si="4"/>
        <v>14359908</v>
      </c>
      <c r="V26" s="9">
        <f t="shared" si="4"/>
        <v>13641913</v>
      </c>
      <c r="W26" s="9">
        <f t="shared" si="4"/>
        <v>717995</v>
      </c>
      <c r="X26" s="25">
        <f t="shared" si="5"/>
        <v>14359908</v>
      </c>
      <c r="Y26" s="9">
        <f t="shared" si="5"/>
        <v>13641913</v>
      </c>
      <c r="Z26" s="9">
        <f t="shared" si="5"/>
        <v>717995</v>
      </c>
      <c r="AA26" s="9">
        <f t="shared" si="8"/>
        <v>8168786</v>
      </c>
      <c r="AB26" s="9">
        <f>ROUND(V26*$AA$41,0)</f>
        <v>8168786</v>
      </c>
      <c r="AC26" s="9">
        <f t="shared" si="6"/>
        <v>8168786</v>
      </c>
    </row>
    <row r="27" spans="1:29" s="3" customFormat="1">
      <c r="A27" s="7">
        <v>20</v>
      </c>
      <c r="B27" s="10" t="s">
        <v>24</v>
      </c>
      <c r="C27" s="29">
        <v>3000</v>
      </c>
      <c r="D27" s="29">
        <f>20+403</f>
        <v>423</v>
      </c>
      <c r="E27" s="29">
        <v>12</v>
      </c>
      <c r="F27" s="21">
        <v>1.018</v>
      </c>
      <c r="G27" s="23">
        <f t="shared" si="0"/>
        <v>15502104</v>
      </c>
      <c r="H27" s="29">
        <v>2500</v>
      </c>
      <c r="I27" s="29">
        <v>1</v>
      </c>
      <c r="J27" s="29">
        <v>12</v>
      </c>
      <c r="K27" s="21">
        <v>1.018</v>
      </c>
      <c r="L27" s="23">
        <f t="shared" si="1"/>
        <v>30540</v>
      </c>
      <c r="M27" s="29">
        <v>2200</v>
      </c>
      <c r="N27" s="29">
        <v>7</v>
      </c>
      <c r="O27" s="29">
        <v>12</v>
      </c>
      <c r="P27" s="21">
        <v>1.018</v>
      </c>
      <c r="Q27" s="23">
        <f t="shared" si="2"/>
        <v>188126.4</v>
      </c>
      <c r="R27" s="25">
        <f t="shared" si="3"/>
        <v>15720770</v>
      </c>
      <c r="S27" s="9">
        <f>ROUND(R27*95/100,0)-1</f>
        <v>14934731</v>
      </c>
      <c r="T27" s="9">
        <f t="shared" si="10"/>
        <v>786039</v>
      </c>
      <c r="U27" s="25">
        <f t="shared" si="4"/>
        <v>15720770</v>
      </c>
      <c r="V27" s="9">
        <f t="shared" si="4"/>
        <v>14934731</v>
      </c>
      <c r="W27" s="9">
        <f t="shared" si="4"/>
        <v>786039</v>
      </c>
      <c r="X27" s="25">
        <f t="shared" si="5"/>
        <v>15720770</v>
      </c>
      <c r="Y27" s="9">
        <f t="shared" si="5"/>
        <v>14934731</v>
      </c>
      <c r="Z27" s="9">
        <f t="shared" si="5"/>
        <v>786039</v>
      </c>
      <c r="AA27" s="9">
        <f t="shared" si="8"/>
        <v>8942926</v>
      </c>
      <c r="AB27" s="9">
        <f t="shared" si="9"/>
        <v>8942926</v>
      </c>
      <c r="AC27" s="9">
        <f t="shared" si="6"/>
        <v>8942926</v>
      </c>
    </row>
    <row r="28" spans="1:29" s="3" customFormat="1">
      <c r="A28" s="7">
        <v>21</v>
      </c>
      <c r="B28" s="10" t="s">
        <v>25</v>
      </c>
      <c r="C28" s="29">
        <v>3000</v>
      </c>
      <c r="D28" s="29">
        <f>28+376</f>
        <v>404</v>
      </c>
      <c r="E28" s="29">
        <v>12</v>
      </c>
      <c r="F28" s="21">
        <v>1.018</v>
      </c>
      <c r="G28" s="23">
        <f t="shared" si="0"/>
        <v>14805792</v>
      </c>
      <c r="H28" s="29">
        <v>2500</v>
      </c>
      <c r="I28" s="29">
        <v>4</v>
      </c>
      <c r="J28" s="29">
        <v>12</v>
      </c>
      <c r="K28" s="21">
        <v>1.018</v>
      </c>
      <c r="L28" s="23">
        <f t="shared" si="1"/>
        <v>122160</v>
      </c>
      <c r="M28" s="29">
        <v>2200</v>
      </c>
      <c r="N28" s="29">
        <v>3</v>
      </c>
      <c r="O28" s="29">
        <v>12</v>
      </c>
      <c r="P28" s="21">
        <v>1.018</v>
      </c>
      <c r="Q28" s="23">
        <f t="shared" si="2"/>
        <v>80625.600000000006</v>
      </c>
      <c r="R28" s="25">
        <f t="shared" si="3"/>
        <v>15008578</v>
      </c>
      <c r="S28" s="9">
        <f t="shared" si="7"/>
        <v>14258149</v>
      </c>
      <c r="T28" s="9">
        <f t="shared" si="10"/>
        <v>750429</v>
      </c>
      <c r="U28" s="25">
        <f t="shared" si="4"/>
        <v>15008578</v>
      </c>
      <c r="V28" s="9">
        <f t="shared" si="4"/>
        <v>14258149</v>
      </c>
      <c r="W28" s="9">
        <f t="shared" si="4"/>
        <v>750429</v>
      </c>
      <c r="X28" s="25">
        <f t="shared" si="5"/>
        <v>15008578</v>
      </c>
      <c r="Y28" s="9">
        <f t="shared" si="5"/>
        <v>14258149</v>
      </c>
      <c r="Z28" s="9">
        <f t="shared" si="5"/>
        <v>750429</v>
      </c>
      <c r="AA28" s="9">
        <f t="shared" si="8"/>
        <v>8537789</v>
      </c>
      <c r="AB28" s="9">
        <f t="shared" si="9"/>
        <v>8537789</v>
      </c>
      <c r="AC28" s="9">
        <f t="shared" si="6"/>
        <v>8537789</v>
      </c>
    </row>
    <row r="29" spans="1:29" s="3" customFormat="1">
      <c r="A29" s="7">
        <v>22</v>
      </c>
      <c r="B29" s="10" t="s">
        <v>26</v>
      </c>
      <c r="C29" s="29">
        <v>3000</v>
      </c>
      <c r="D29" s="29">
        <f>9+345</f>
        <v>354</v>
      </c>
      <c r="E29" s="29">
        <v>12</v>
      </c>
      <c r="F29" s="21">
        <v>1.018</v>
      </c>
      <c r="G29" s="23">
        <f t="shared" si="0"/>
        <v>12973392</v>
      </c>
      <c r="H29" s="29">
        <v>2500</v>
      </c>
      <c r="I29" s="29">
        <v>0</v>
      </c>
      <c r="J29" s="29">
        <v>12</v>
      </c>
      <c r="K29" s="21">
        <v>1.018</v>
      </c>
      <c r="L29" s="23">
        <f t="shared" si="1"/>
        <v>0</v>
      </c>
      <c r="M29" s="29">
        <v>2200</v>
      </c>
      <c r="N29" s="29">
        <v>0</v>
      </c>
      <c r="O29" s="29">
        <v>12</v>
      </c>
      <c r="P29" s="21">
        <v>1.018</v>
      </c>
      <c r="Q29" s="23">
        <f t="shared" si="2"/>
        <v>0</v>
      </c>
      <c r="R29" s="25">
        <f t="shared" si="3"/>
        <v>12973392</v>
      </c>
      <c r="S29" s="9">
        <f t="shared" si="7"/>
        <v>12324722</v>
      </c>
      <c r="T29" s="9">
        <f t="shared" si="10"/>
        <v>648670</v>
      </c>
      <c r="U29" s="25">
        <f t="shared" si="4"/>
        <v>12973392</v>
      </c>
      <c r="V29" s="9">
        <f t="shared" si="4"/>
        <v>12324722</v>
      </c>
      <c r="W29" s="9">
        <f t="shared" si="4"/>
        <v>648670</v>
      </c>
      <c r="X29" s="25">
        <f t="shared" si="5"/>
        <v>12973392</v>
      </c>
      <c r="Y29" s="9">
        <f t="shared" si="5"/>
        <v>12324722</v>
      </c>
      <c r="Z29" s="9">
        <f t="shared" si="5"/>
        <v>648670</v>
      </c>
      <c r="AA29" s="9">
        <f t="shared" si="8"/>
        <v>7380051</v>
      </c>
      <c r="AB29" s="9">
        <f t="shared" si="9"/>
        <v>7380051</v>
      </c>
      <c r="AC29" s="9">
        <f t="shared" si="6"/>
        <v>7380051</v>
      </c>
    </row>
    <row r="30" spans="1:29" s="3" customFormat="1">
      <c r="A30" s="7">
        <v>23</v>
      </c>
      <c r="B30" s="10" t="s">
        <v>27</v>
      </c>
      <c r="C30" s="29">
        <v>3000</v>
      </c>
      <c r="D30" s="29">
        <f>17+450</f>
        <v>467</v>
      </c>
      <c r="E30" s="29">
        <v>12</v>
      </c>
      <c r="F30" s="21">
        <v>1.018</v>
      </c>
      <c r="G30" s="23">
        <f t="shared" si="0"/>
        <v>17114616</v>
      </c>
      <c r="H30" s="29">
        <v>2500</v>
      </c>
      <c r="I30" s="29">
        <v>5</v>
      </c>
      <c r="J30" s="29">
        <v>12</v>
      </c>
      <c r="K30" s="21">
        <v>1.018</v>
      </c>
      <c r="L30" s="23">
        <f t="shared" si="1"/>
        <v>152700</v>
      </c>
      <c r="M30" s="29">
        <v>2200</v>
      </c>
      <c r="N30" s="29">
        <v>7</v>
      </c>
      <c r="O30" s="29">
        <v>12</v>
      </c>
      <c r="P30" s="21">
        <v>1.018</v>
      </c>
      <c r="Q30" s="23">
        <f t="shared" si="2"/>
        <v>188126.4</v>
      </c>
      <c r="R30" s="25">
        <f t="shared" si="3"/>
        <v>17455442</v>
      </c>
      <c r="S30" s="9">
        <f t="shared" si="7"/>
        <v>16582670</v>
      </c>
      <c r="T30" s="9">
        <f>ROUND(R30*5/100,0)</f>
        <v>872772</v>
      </c>
      <c r="U30" s="25">
        <f t="shared" si="4"/>
        <v>17455442</v>
      </c>
      <c r="V30" s="9">
        <f t="shared" si="4"/>
        <v>16582670</v>
      </c>
      <c r="W30" s="9">
        <f t="shared" si="4"/>
        <v>872772</v>
      </c>
      <c r="X30" s="25">
        <f t="shared" si="5"/>
        <v>17455442</v>
      </c>
      <c r="Y30" s="9">
        <f t="shared" si="5"/>
        <v>16582670</v>
      </c>
      <c r="Z30" s="9">
        <f t="shared" si="5"/>
        <v>872772</v>
      </c>
      <c r="AA30" s="9">
        <f t="shared" si="8"/>
        <v>9929713</v>
      </c>
      <c r="AB30" s="9">
        <f t="shared" si="9"/>
        <v>9929713</v>
      </c>
      <c r="AC30" s="9">
        <f t="shared" si="6"/>
        <v>9929713</v>
      </c>
    </row>
    <row r="31" spans="1:29" s="3" customFormat="1">
      <c r="A31" s="7">
        <v>24</v>
      </c>
      <c r="B31" s="10" t="s">
        <v>28</v>
      </c>
      <c r="C31" s="29">
        <v>3000</v>
      </c>
      <c r="D31" s="29">
        <f>24+293</f>
        <v>317</v>
      </c>
      <c r="E31" s="29">
        <v>12</v>
      </c>
      <c r="F31" s="21">
        <v>1.018</v>
      </c>
      <c r="G31" s="23">
        <f t="shared" si="0"/>
        <v>11617416</v>
      </c>
      <c r="H31" s="29">
        <v>2500</v>
      </c>
      <c r="I31" s="29">
        <v>1</v>
      </c>
      <c r="J31" s="29">
        <v>12</v>
      </c>
      <c r="K31" s="21">
        <v>1.018</v>
      </c>
      <c r="L31" s="23">
        <f t="shared" si="1"/>
        <v>30540</v>
      </c>
      <c r="M31" s="29">
        <v>2200</v>
      </c>
      <c r="N31" s="29">
        <v>2</v>
      </c>
      <c r="O31" s="29">
        <v>12</v>
      </c>
      <c r="P31" s="21">
        <v>1.018</v>
      </c>
      <c r="Q31" s="23">
        <f t="shared" si="2"/>
        <v>53750.400000000001</v>
      </c>
      <c r="R31" s="25">
        <f t="shared" si="3"/>
        <v>11701706</v>
      </c>
      <c r="S31" s="9">
        <f>ROUND(R31*95/100,0)</f>
        <v>11116621</v>
      </c>
      <c r="T31" s="9">
        <f t="shared" si="10"/>
        <v>585085</v>
      </c>
      <c r="U31" s="25">
        <f t="shared" si="4"/>
        <v>11701706</v>
      </c>
      <c r="V31" s="9">
        <f t="shared" si="4"/>
        <v>11116621</v>
      </c>
      <c r="W31" s="9">
        <f t="shared" si="4"/>
        <v>585085</v>
      </c>
      <c r="X31" s="25">
        <f t="shared" si="5"/>
        <v>11701706</v>
      </c>
      <c r="Y31" s="9">
        <f t="shared" si="5"/>
        <v>11116621</v>
      </c>
      <c r="Z31" s="9">
        <f t="shared" si="5"/>
        <v>585085</v>
      </c>
      <c r="AA31" s="9">
        <f t="shared" si="8"/>
        <v>6656640</v>
      </c>
      <c r="AB31" s="9">
        <f t="shared" si="9"/>
        <v>6656640</v>
      </c>
      <c r="AC31" s="9">
        <f t="shared" si="6"/>
        <v>6656640</v>
      </c>
    </row>
    <row r="32" spans="1:29" s="3" customFormat="1">
      <c r="A32" s="7">
        <v>25</v>
      </c>
      <c r="B32" s="10" t="s">
        <v>29</v>
      </c>
      <c r="C32" s="29">
        <v>3000</v>
      </c>
      <c r="D32" s="29">
        <f>17+328</f>
        <v>345</v>
      </c>
      <c r="E32" s="29">
        <v>12</v>
      </c>
      <c r="F32" s="21">
        <v>1.018</v>
      </c>
      <c r="G32" s="23">
        <f t="shared" si="0"/>
        <v>12643560</v>
      </c>
      <c r="H32" s="29">
        <v>2500</v>
      </c>
      <c r="I32" s="29">
        <v>2</v>
      </c>
      <c r="J32" s="29">
        <v>12</v>
      </c>
      <c r="K32" s="21">
        <v>1.018</v>
      </c>
      <c r="L32" s="23">
        <f t="shared" si="1"/>
        <v>61080</v>
      </c>
      <c r="M32" s="29">
        <v>2200</v>
      </c>
      <c r="N32" s="29">
        <v>3</v>
      </c>
      <c r="O32" s="29">
        <v>12</v>
      </c>
      <c r="P32" s="21">
        <v>1.018</v>
      </c>
      <c r="Q32" s="23">
        <f t="shared" si="2"/>
        <v>80625.600000000006</v>
      </c>
      <c r="R32" s="25">
        <f t="shared" si="3"/>
        <v>12785266</v>
      </c>
      <c r="S32" s="9">
        <f t="shared" si="7"/>
        <v>12146003</v>
      </c>
      <c r="T32" s="9">
        <f t="shared" si="10"/>
        <v>639263</v>
      </c>
      <c r="U32" s="25">
        <f t="shared" si="4"/>
        <v>12785266</v>
      </c>
      <c r="V32" s="9">
        <f t="shared" si="4"/>
        <v>12146003</v>
      </c>
      <c r="W32" s="9">
        <f t="shared" si="4"/>
        <v>639263</v>
      </c>
      <c r="X32" s="25">
        <f t="shared" si="5"/>
        <v>12785266</v>
      </c>
      <c r="Y32" s="9">
        <f t="shared" si="5"/>
        <v>12146003</v>
      </c>
      <c r="Z32" s="9">
        <f t="shared" si="5"/>
        <v>639263</v>
      </c>
      <c r="AA32" s="9">
        <f t="shared" si="8"/>
        <v>7273034</v>
      </c>
      <c r="AB32" s="9">
        <f t="shared" si="9"/>
        <v>7273034</v>
      </c>
      <c r="AC32" s="9">
        <f t="shared" si="6"/>
        <v>7273034</v>
      </c>
    </row>
    <row r="33" spans="1:29" s="3" customFormat="1">
      <c r="A33" s="7">
        <v>26</v>
      </c>
      <c r="B33" s="10" t="s">
        <v>30</v>
      </c>
      <c r="C33" s="29">
        <v>3000</v>
      </c>
      <c r="D33" s="29">
        <f>6+290</f>
        <v>296</v>
      </c>
      <c r="E33" s="29">
        <v>12</v>
      </c>
      <c r="F33" s="21">
        <v>1.018</v>
      </c>
      <c r="G33" s="23">
        <f t="shared" si="0"/>
        <v>10847808</v>
      </c>
      <c r="H33" s="29">
        <v>2500</v>
      </c>
      <c r="I33" s="29">
        <v>2</v>
      </c>
      <c r="J33" s="29">
        <v>12</v>
      </c>
      <c r="K33" s="21">
        <v>1.018</v>
      </c>
      <c r="L33" s="23">
        <f t="shared" si="1"/>
        <v>61080</v>
      </c>
      <c r="M33" s="29">
        <v>2200</v>
      </c>
      <c r="N33" s="29">
        <v>0</v>
      </c>
      <c r="O33" s="29">
        <v>12</v>
      </c>
      <c r="P33" s="21">
        <v>1.018</v>
      </c>
      <c r="Q33" s="23">
        <f t="shared" si="2"/>
        <v>0</v>
      </c>
      <c r="R33" s="25">
        <f t="shared" si="3"/>
        <v>10908888</v>
      </c>
      <c r="S33" s="9">
        <f t="shared" si="7"/>
        <v>10363444</v>
      </c>
      <c r="T33" s="9">
        <f t="shared" si="10"/>
        <v>545444</v>
      </c>
      <c r="U33" s="25">
        <f t="shared" si="4"/>
        <v>10908888</v>
      </c>
      <c r="V33" s="9">
        <f t="shared" si="4"/>
        <v>10363444</v>
      </c>
      <c r="W33" s="9">
        <f t="shared" si="4"/>
        <v>545444</v>
      </c>
      <c r="X33" s="25">
        <f t="shared" si="5"/>
        <v>10908888</v>
      </c>
      <c r="Y33" s="9">
        <f t="shared" si="5"/>
        <v>10363444</v>
      </c>
      <c r="Z33" s="9">
        <f t="shared" si="5"/>
        <v>545444</v>
      </c>
      <c r="AA33" s="9">
        <f t="shared" si="8"/>
        <v>6205637</v>
      </c>
      <c r="AB33" s="9">
        <f t="shared" si="9"/>
        <v>6205637</v>
      </c>
      <c r="AC33" s="9">
        <f t="shared" si="6"/>
        <v>6205637</v>
      </c>
    </row>
    <row r="34" spans="1:29" s="3" customFormat="1">
      <c r="A34" s="7">
        <v>27</v>
      </c>
      <c r="B34" s="10" t="s">
        <v>31</v>
      </c>
      <c r="C34" s="29">
        <v>3000</v>
      </c>
      <c r="D34" s="29">
        <f>22+212</f>
        <v>234</v>
      </c>
      <c r="E34" s="29">
        <v>12</v>
      </c>
      <c r="F34" s="21">
        <v>1.018</v>
      </c>
      <c r="G34" s="23">
        <f t="shared" si="0"/>
        <v>8575632</v>
      </c>
      <c r="H34" s="29">
        <v>2500</v>
      </c>
      <c r="I34" s="29">
        <v>2</v>
      </c>
      <c r="J34" s="29">
        <v>12</v>
      </c>
      <c r="K34" s="21">
        <v>1.018</v>
      </c>
      <c r="L34" s="23">
        <f t="shared" si="1"/>
        <v>61080</v>
      </c>
      <c r="M34" s="29">
        <v>2200</v>
      </c>
      <c r="N34" s="29">
        <v>0</v>
      </c>
      <c r="O34" s="29">
        <v>12</v>
      </c>
      <c r="P34" s="21">
        <v>1.018</v>
      </c>
      <c r="Q34" s="23">
        <f t="shared" si="2"/>
        <v>0</v>
      </c>
      <c r="R34" s="25">
        <f t="shared" si="3"/>
        <v>8636712</v>
      </c>
      <c r="S34" s="9">
        <f t="shared" si="7"/>
        <v>8204876</v>
      </c>
      <c r="T34" s="9">
        <f t="shared" si="10"/>
        <v>431836</v>
      </c>
      <c r="U34" s="25">
        <f t="shared" si="4"/>
        <v>8636712</v>
      </c>
      <c r="V34" s="9">
        <f t="shared" si="4"/>
        <v>8204876</v>
      </c>
      <c r="W34" s="9">
        <f t="shared" si="4"/>
        <v>431836</v>
      </c>
      <c r="X34" s="25">
        <f t="shared" si="5"/>
        <v>8636712</v>
      </c>
      <c r="Y34" s="9">
        <f t="shared" si="5"/>
        <v>8204876</v>
      </c>
      <c r="Z34" s="9">
        <f t="shared" si="5"/>
        <v>431836</v>
      </c>
      <c r="AA34" s="9">
        <f t="shared" si="8"/>
        <v>4913085</v>
      </c>
      <c r="AB34" s="9">
        <f t="shared" si="9"/>
        <v>4913085</v>
      </c>
      <c r="AC34" s="9">
        <f t="shared" si="6"/>
        <v>4913085</v>
      </c>
    </row>
    <row r="35" spans="1:29" s="3" customFormat="1">
      <c r="A35" s="7">
        <v>28</v>
      </c>
      <c r="B35" s="10" t="s">
        <v>32</v>
      </c>
      <c r="C35" s="29">
        <v>3000</v>
      </c>
      <c r="D35" s="29">
        <f>23+364</f>
        <v>387</v>
      </c>
      <c r="E35" s="29">
        <v>12</v>
      </c>
      <c r="F35" s="21">
        <v>1.018</v>
      </c>
      <c r="G35" s="23">
        <f t="shared" si="0"/>
        <v>14182776</v>
      </c>
      <c r="H35" s="29">
        <v>2500</v>
      </c>
      <c r="I35" s="29">
        <v>1</v>
      </c>
      <c r="J35" s="29">
        <v>12</v>
      </c>
      <c r="K35" s="21">
        <v>1.018</v>
      </c>
      <c r="L35" s="23">
        <f t="shared" si="1"/>
        <v>30540</v>
      </c>
      <c r="M35" s="29">
        <v>2200</v>
      </c>
      <c r="N35" s="29">
        <v>0</v>
      </c>
      <c r="O35" s="29">
        <v>12</v>
      </c>
      <c r="P35" s="21">
        <v>1.018</v>
      </c>
      <c r="Q35" s="23">
        <f t="shared" si="2"/>
        <v>0</v>
      </c>
      <c r="R35" s="25">
        <f t="shared" si="3"/>
        <v>14213316</v>
      </c>
      <c r="S35" s="9">
        <f>ROUND(R35*95/100,0)+1</f>
        <v>13502651</v>
      </c>
      <c r="T35" s="9">
        <f>ROUND(R35*5/100,0)-1</f>
        <v>710665</v>
      </c>
      <c r="U35" s="25">
        <f t="shared" si="4"/>
        <v>14213316</v>
      </c>
      <c r="V35" s="9">
        <f t="shared" si="4"/>
        <v>13502651</v>
      </c>
      <c r="W35" s="9">
        <f t="shared" si="4"/>
        <v>710665</v>
      </c>
      <c r="X35" s="25">
        <f t="shared" si="5"/>
        <v>14213316</v>
      </c>
      <c r="Y35" s="9">
        <f t="shared" si="5"/>
        <v>13502651</v>
      </c>
      <c r="Z35" s="9">
        <f t="shared" si="5"/>
        <v>710665</v>
      </c>
      <c r="AA35" s="9">
        <f>ROUND(S35*$AA$40,0)+1</f>
        <v>8085397</v>
      </c>
      <c r="AB35" s="9">
        <f>ROUND(V35*$AA$41,0)+1</f>
        <v>8085397</v>
      </c>
      <c r="AC35" s="9">
        <f t="shared" si="6"/>
        <v>8085397</v>
      </c>
    </row>
    <row r="36" spans="1:29">
      <c r="A36" s="11"/>
      <c r="B36" s="12" t="s">
        <v>3</v>
      </c>
      <c r="C36" s="15">
        <v>3000</v>
      </c>
      <c r="D36" s="15">
        <f>D8+D9+D10+D11+D12+D13+D14+D15+D16+D17+D18+D19+D20+D21+D22+D23+D24+D25+D26+D27+D28+D29+D30+D31+D32+D33+D34+D35</f>
        <v>10772</v>
      </c>
      <c r="E36" s="15">
        <v>12</v>
      </c>
      <c r="F36" s="22">
        <v>1.018</v>
      </c>
      <c r="G36" s="14">
        <f>G8+G9+G10+G11+G12+G13+G14+G15+G16+G17+G18+G19+G20+G21+G22+G23+G24+G25+G26+G27+G28+G29+G30+G31+G32+G33+G34+G35</f>
        <v>394772256</v>
      </c>
      <c r="H36" s="15">
        <v>2500</v>
      </c>
      <c r="I36" s="15">
        <f>I8+I9+I10+I11+I12+I13+I14+I15+I16+I17+I18+I19+I20+I21+I22+I23+I24+I25+I26+I27+I28+I29+I30+I31+I32+I33+I34+I35</f>
        <v>81</v>
      </c>
      <c r="J36" s="15">
        <v>12</v>
      </c>
      <c r="K36" s="22">
        <v>1.018</v>
      </c>
      <c r="L36" s="14">
        <f>L8+L9+L10+L11+L12+L13+L14+L15+L16+L17+L18+L19+L20+L21+L22+L23+L24+L25+L26+L27+L28+L29+L30+L31+L32+L33+L34+L35</f>
        <v>2473740</v>
      </c>
      <c r="M36" s="15">
        <v>2200</v>
      </c>
      <c r="N36" s="15">
        <f>N8+N9+N10+N11+N12+N13+N14+N15+N16+N17+N18+N19+N20+N21+N22+N23+N24+N25+N26+N27+N28+N29+N30+N31+N32+N33+N34+N35</f>
        <v>113</v>
      </c>
      <c r="O36" s="15">
        <v>12</v>
      </c>
      <c r="P36" s="22">
        <v>1.018</v>
      </c>
      <c r="Q36" s="14">
        <f>Q8+Q9+Q10+Q11+Q12+Q13+Q14+Q15+Q16+Q17+Q18+Q19+Q20+Q21+Q22+Q23+Q24+Q25+Q26+Q27+Q28+Q29+Q30+Q31+Q32+Q33+Q34+Q35</f>
        <v>3036897.6</v>
      </c>
      <c r="R36" s="13">
        <f>R8+R9+R10+R11+R12+R13+R14+R15+R16+R17+R18+R19+R20+R21+R22+R23+R24+R25+R26+R27+R28+R29+R30+R31+R32+R33+R34+R35</f>
        <v>400282895</v>
      </c>
      <c r="S36" s="13">
        <f>S8+S9+S10+S11+S12+S13+S14+S15+S16+S17+S18+S19+S20+S21+S22+S23+S24+S25+S26+S27+S28+S29+S30+S31+S32+S33+S34+S35</f>
        <v>380268750</v>
      </c>
      <c r="T36" s="13">
        <f>T8+T9+T10+T11+T12+T13+T14+T15+T16+T17+T18+T19+T20+T21+T22+T23+T24+T25+T26+T27+T28+T29+T30+T31+T32+T33+T34+T35</f>
        <v>20014145</v>
      </c>
      <c r="U36" s="13">
        <f t="shared" ref="U36:X36" si="11">U8+U9+U10+U11+U12+U13+U14+U15+U16+U17+U18+U19+U20+U21+U22+U23+U24+U25+U26+U27+U28+U29+U30+U31+U32+U33+U34+U35</f>
        <v>400282895</v>
      </c>
      <c r="V36" s="13">
        <f t="shared" si="11"/>
        <v>380268750</v>
      </c>
      <c r="W36" s="13">
        <f t="shared" si="11"/>
        <v>20014145</v>
      </c>
      <c r="X36" s="13">
        <f t="shared" si="11"/>
        <v>400282895</v>
      </c>
      <c r="Y36" s="16">
        <f>Y8+Y9+Y10+Y11+Y12+Y13+Y14+Y15+Y16+Y17+Y18+Y19+Y20+Y21+Y22+Y23+Y24+Y25+Y26+Y27+Y28+Y29+Y30+Y31+Y32+Y33+Y34+Y35</f>
        <v>380268750</v>
      </c>
      <c r="Z36" s="16">
        <f>Z8+Z9+Z10+Z11+Z12+Z13+Z14+Z15+Z16+Z17+Z18+Z19+Z20+Z21+Z22+Z23+Z24+Z25+Z26+Z27+Z28+Z29+Z30+Z31+Z32+Z33+Z34+Z35</f>
        <v>20014145</v>
      </c>
      <c r="AA36" s="16">
        <f>AA8+AA9+AA10+AA11+AA12+AA13+AA14+AA15+AA16+AA17+AA18+AA19+AA20+AA21+AA22+AA23+AA24+AA25+AA26+AA27+AA28+AA29+AA30+AA31+AA32+AA33+AA34+AA35</f>
        <v>227705166</v>
      </c>
      <c r="AB36" s="16">
        <f>AB8+AB9+AB10+AB11+AB12+AB13+AB14+AB15+AB16+AB17+AB18+AB19+AB20+AB21+AB22+AB23+AB24+AB25+AB26+AB27+AB28+AB29+AB30+AB31+AB32+AB33+AB34+AB35</f>
        <v>227705166</v>
      </c>
      <c r="AC36" s="16">
        <f>AC8+AC9+AC10+AC11+AC12+AC13+AC14+AC15+AC16+AC17+AC18+AC19+AC20+AC21+AC22+AC23+AC24+AC25+AC26+AC27+AC28+AC29+AC30+AC31+AC32+AC33+AC34+AC35</f>
        <v>227705166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T38*AA40-1</f>
        <v>11984481.549700158</v>
      </c>
      <c r="AB37" s="26">
        <f>W38*AA41-1</f>
        <v>11984481.549700158</v>
      </c>
      <c r="AC37" s="26">
        <f>AB37</f>
        <v>11984481.549700158</v>
      </c>
    </row>
    <row r="38" spans="1:29">
      <c r="A38" s="17"/>
      <c r="B38" s="18" t="s">
        <v>4</v>
      </c>
      <c r="C38" s="18"/>
      <c r="D38" s="18"/>
      <c r="E38" s="18"/>
      <c r="F38" s="18"/>
      <c r="G38" s="18"/>
      <c r="H38" s="18"/>
      <c r="I38" s="18"/>
      <c r="J38" s="18"/>
      <c r="K38" s="18"/>
      <c r="L38" s="18"/>
      <c r="M38" s="18"/>
      <c r="N38" s="18"/>
      <c r="O38" s="18"/>
      <c r="P38" s="18"/>
      <c r="Q38" s="18"/>
      <c r="R38" s="27">
        <f t="shared" ref="R38:Z38" si="12">R36</f>
        <v>400282895</v>
      </c>
      <c r="S38" s="27">
        <f t="shared" si="12"/>
        <v>380268750</v>
      </c>
      <c r="T38" s="27">
        <f t="shared" si="12"/>
        <v>20014145</v>
      </c>
      <c r="U38" s="27">
        <f t="shared" si="12"/>
        <v>400282895</v>
      </c>
      <c r="V38" s="27">
        <f t="shared" si="12"/>
        <v>380268750</v>
      </c>
      <c r="W38" s="27">
        <f t="shared" si="12"/>
        <v>20014145</v>
      </c>
      <c r="X38" s="27">
        <f t="shared" si="12"/>
        <v>400282895</v>
      </c>
      <c r="Y38" s="27">
        <f t="shared" si="12"/>
        <v>380268750</v>
      </c>
      <c r="Z38" s="27">
        <f t="shared" si="12"/>
        <v>20014145</v>
      </c>
      <c r="AA38" s="26">
        <f t="shared" ref="AA38:AC38" si="13">AA36+AA37</f>
        <v>239689647.54970017</v>
      </c>
      <c r="AB38" s="26">
        <f t="shared" si="13"/>
        <v>239689647.54970017</v>
      </c>
      <c r="AC38" s="26">
        <f t="shared" si="13"/>
        <v>239689647.54970017</v>
      </c>
    </row>
    <row r="39" spans="1:29">
      <c r="AB39" s="20"/>
    </row>
    <row r="40" spans="1:29">
      <c r="W40" s="1" t="s">
        <v>51</v>
      </c>
      <c r="X40" s="32">
        <v>239689648</v>
      </c>
      <c r="Y40" s="48" t="s">
        <v>52</v>
      </c>
      <c r="Z40" s="48"/>
      <c r="AA40" s="1">
        <f>X40/R38</f>
        <v>0.59880062574245152</v>
      </c>
      <c r="AB40" s="34"/>
    </row>
    <row r="41" spans="1:29" ht="12.75" customHeight="1">
      <c r="W41" s="1" t="s">
        <v>57</v>
      </c>
      <c r="X41" s="32">
        <v>239689648</v>
      </c>
      <c r="Y41" s="48" t="s">
        <v>58</v>
      </c>
      <c r="Z41" s="48"/>
      <c r="AA41" s="1">
        <f>X41/U38</f>
        <v>0.59880062574245152</v>
      </c>
      <c r="AB41" s="34"/>
    </row>
    <row r="42" spans="1:29">
      <c r="W42" s="1" t="s">
        <v>60</v>
      </c>
      <c r="X42" s="32">
        <v>239689648</v>
      </c>
      <c r="Y42" s="48" t="s">
        <v>59</v>
      </c>
      <c r="Z42" s="48"/>
      <c r="AA42" s="1">
        <f>X42/X38</f>
        <v>0.59880062574245152</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19685039370078741" right="0.19685039370078741" top="0.19685039370078741" bottom="0.19685039370078741" header="0" footer="0"/>
  <pageSetup paperSize="9" scale="60" orientation="landscape" r:id="rId1"/>
  <colBreaks count="3" manualBreakCount="3">
    <brk id="7" max="1048575" man="1"/>
    <brk id="12" max="1048575" man="1"/>
    <brk id="21" max="1048575" man="1"/>
  </colBreaks>
</worksheet>
</file>

<file path=xl/worksheets/sheet3.xml><?xml version="1.0" encoding="utf-8"?>
<worksheet xmlns="http://schemas.openxmlformats.org/spreadsheetml/2006/main" xmlns:r="http://schemas.openxmlformats.org/officeDocument/2006/relationships">
  <dimension ref="A2:AC42"/>
  <sheetViews>
    <sheetView view="pageBreakPreview" zoomScale="90" zoomScaleNormal="100" zoomScaleSheetLayoutView="90" workbookViewId="0">
      <pane xSplit="2" ySplit="7" topLeftCell="C8" activePane="bottomRight" state="frozen"/>
      <selection pane="topRight" activeCell="C1" sqref="C1"/>
      <selection pane="bottomLeft" activeCell="A8" sqref="A8"/>
      <selection pane="bottomRight" activeCell="C5" sqref="C5:C6"/>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7.140625" style="1" customWidth="1"/>
    <col min="8" max="8" width="21.28515625" style="1" customWidth="1"/>
    <col min="9" max="9" width="45.5703125" style="1" customWidth="1"/>
    <col min="10" max="10" width="13.5703125" style="1" customWidth="1"/>
    <col min="11" max="11" width="19.28515625" style="1" customWidth="1"/>
    <col min="12" max="12" width="25" style="1" customWidth="1"/>
    <col min="13" max="13" width="22.42578125" style="1" customWidth="1"/>
    <col min="14" max="14" width="25.7109375" style="1" customWidth="1"/>
    <col min="15" max="15" width="14.140625" style="1" customWidth="1"/>
    <col min="16" max="16" width="19.42578125" style="1" customWidth="1"/>
    <col min="17" max="17" width="25.28515625" style="1" customWidth="1"/>
    <col min="18" max="18" width="21.85546875" style="1" customWidth="1"/>
    <col min="19" max="19" width="16.28515625" style="1" customWidth="1"/>
    <col min="20" max="20" width="16.5703125" style="1" customWidth="1"/>
    <col min="21" max="21" width="20.140625" style="1" customWidth="1"/>
    <col min="22" max="22" width="14.28515625" style="1" customWidth="1"/>
    <col min="23" max="23" width="14.5703125" style="1" customWidth="1"/>
    <col min="24" max="24" width="19.28515625" style="1" customWidth="1"/>
    <col min="25" max="25" width="14.7109375" style="1" customWidth="1"/>
    <col min="26" max="26" width="15.42578125" style="1" customWidth="1"/>
    <col min="27" max="27" width="18" style="1" customWidth="1"/>
    <col min="28" max="29" width="17.42578125" style="1" customWidth="1"/>
    <col min="30" max="16384" width="9.140625" style="1"/>
  </cols>
  <sheetData>
    <row r="2" spans="1:29" ht="45" customHeight="1">
      <c r="C2" s="47" t="s">
        <v>55</v>
      </c>
      <c r="D2" s="47"/>
      <c r="E2" s="47"/>
      <c r="F2" s="47"/>
      <c r="G2" s="47"/>
      <c r="H2" s="47"/>
      <c r="I2" s="47"/>
      <c r="J2" s="35"/>
      <c r="K2" s="35"/>
      <c r="L2" s="2"/>
      <c r="M2" s="2"/>
      <c r="N2" s="2"/>
      <c r="O2" s="2"/>
      <c r="P2" s="2"/>
      <c r="Q2" s="2"/>
      <c r="S2" s="2"/>
      <c r="T2" s="2"/>
      <c r="U2" s="2"/>
      <c r="V2" s="2"/>
      <c r="W2" s="2"/>
      <c r="X2" s="2"/>
      <c r="Y2" s="2"/>
      <c r="Z2" s="2"/>
    </row>
    <row r="4" spans="1:29" s="3" customFormat="1" ht="50.25" customHeight="1">
      <c r="A4" s="37" t="s">
        <v>0</v>
      </c>
      <c r="B4" s="37" t="s">
        <v>1</v>
      </c>
      <c r="C4" s="39" t="s">
        <v>71</v>
      </c>
      <c r="D4" s="40"/>
      <c r="E4" s="40"/>
      <c r="F4" s="40"/>
      <c r="G4" s="40"/>
      <c r="H4" s="39" t="s">
        <v>72</v>
      </c>
      <c r="I4" s="40"/>
      <c r="J4" s="40"/>
      <c r="K4" s="40"/>
      <c r="L4" s="40"/>
      <c r="M4" s="42" t="s">
        <v>73</v>
      </c>
      <c r="N4" s="42"/>
      <c r="O4" s="42"/>
      <c r="P4" s="42"/>
      <c r="Q4" s="42"/>
      <c r="R4" s="44" t="s">
        <v>74</v>
      </c>
      <c r="S4" s="42" t="s">
        <v>44</v>
      </c>
      <c r="T4" s="42"/>
      <c r="U4" s="44" t="s">
        <v>75</v>
      </c>
      <c r="V4" s="42" t="s">
        <v>44</v>
      </c>
      <c r="W4" s="42"/>
      <c r="X4" s="44" t="s">
        <v>76</v>
      </c>
      <c r="Y4" s="42" t="s">
        <v>44</v>
      </c>
      <c r="Z4" s="42"/>
      <c r="AA4" s="42" t="s">
        <v>61</v>
      </c>
      <c r="AB4" s="42" t="s">
        <v>63</v>
      </c>
      <c r="AC4" s="42" t="s">
        <v>62</v>
      </c>
    </row>
    <row r="5" spans="1:29" ht="68.25" customHeight="1">
      <c r="A5" s="37"/>
      <c r="B5" s="37"/>
      <c r="C5" s="38" t="s">
        <v>34</v>
      </c>
      <c r="D5" s="38" t="s">
        <v>65</v>
      </c>
      <c r="E5" s="41" t="s">
        <v>33</v>
      </c>
      <c r="F5" s="41" t="s">
        <v>66</v>
      </c>
      <c r="G5" s="42" t="s">
        <v>64</v>
      </c>
      <c r="H5" s="38" t="s">
        <v>39</v>
      </c>
      <c r="I5" s="38" t="s">
        <v>68</v>
      </c>
      <c r="J5" s="41" t="s">
        <v>36</v>
      </c>
      <c r="K5" s="41" t="s">
        <v>66</v>
      </c>
      <c r="L5" s="42" t="s">
        <v>67</v>
      </c>
      <c r="M5" s="38" t="s">
        <v>40</v>
      </c>
      <c r="N5" s="38" t="s">
        <v>70</v>
      </c>
      <c r="O5" s="41" t="s">
        <v>33</v>
      </c>
      <c r="P5" s="41" t="s">
        <v>66</v>
      </c>
      <c r="Q5" s="42" t="s">
        <v>69</v>
      </c>
      <c r="R5" s="45"/>
      <c r="S5" s="39" t="s">
        <v>42</v>
      </c>
      <c r="T5" s="43" t="s">
        <v>43</v>
      </c>
      <c r="U5" s="45"/>
      <c r="V5" s="39" t="s">
        <v>42</v>
      </c>
      <c r="W5" s="43" t="s">
        <v>43</v>
      </c>
      <c r="X5" s="45"/>
      <c r="Y5" s="39" t="s">
        <v>42</v>
      </c>
      <c r="Z5" s="43" t="s">
        <v>43</v>
      </c>
      <c r="AA5" s="42"/>
      <c r="AB5" s="42"/>
      <c r="AC5" s="42"/>
    </row>
    <row r="6" spans="1:29" ht="183.75" customHeight="1">
      <c r="A6" s="37"/>
      <c r="B6" s="37"/>
      <c r="C6" s="38"/>
      <c r="D6" s="38"/>
      <c r="E6" s="41"/>
      <c r="F6" s="41"/>
      <c r="G6" s="42"/>
      <c r="H6" s="38"/>
      <c r="I6" s="38"/>
      <c r="J6" s="41"/>
      <c r="K6" s="41"/>
      <c r="L6" s="42"/>
      <c r="M6" s="38"/>
      <c r="N6" s="38"/>
      <c r="O6" s="41"/>
      <c r="P6" s="41"/>
      <c r="Q6" s="42"/>
      <c r="R6" s="46"/>
      <c r="S6" s="39"/>
      <c r="T6" s="43"/>
      <c r="U6" s="46"/>
      <c r="V6" s="39"/>
      <c r="W6" s="43"/>
      <c r="X6" s="46"/>
      <c r="Y6" s="39"/>
      <c r="Z6" s="43"/>
      <c r="AA6" s="42"/>
      <c r="AB6" s="42"/>
      <c r="AC6" s="42"/>
    </row>
    <row r="7" spans="1:29" ht="18" customHeight="1">
      <c r="A7" s="28">
        <v>1</v>
      </c>
      <c r="B7" s="28">
        <f>A7+1</f>
        <v>2</v>
      </c>
      <c r="C7" s="28">
        <v>3</v>
      </c>
      <c r="D7" s="28">
        <v>4</v>
      </c>
      <c r="E7" s="28">
        <v>5</v>
      </c>
      <c r="F7" s="28">
        <v>6</v>
      </c>
      <c r="G7" s="28" t="s">
        <v>35</v>
      </c>
      <c r="H7" s="28">
        <v>8</v>
      </c>
      <c r="I7" s="28">
        <v>9</v>
      </c>
      <c r="J7" s="28">
        <v>10</v>
      </c>
      <c r="K7" s="24">
        <v>11</v>
      </c>
      <c r="L7" s="28" t="s">
        <v>37</v>
      </c>
      <c r="M7" s="28">
        <v>13</v>
      </c>
      <c r="N7" s="28">
        <v>14</v>
      </c>
      <c r="O7" s="28">
        <v>15</v>
      </c>
      <c r="P7" s="28">
        <v>16</v>
      </c>
      <c r="Q7" s="28" t="s">
        <v>38</v>
      </c>
      <c r="R7" s="28" t="s">
        <v>41</v>
      </c>
      <c r="S7" s="28" t="s">
        <v>45</v>
      </c>
      <c r="T7" s="28" t="s">
        <v>46</v>
      </c>
      <c r="U7" s="28">
        <v>21</v>
      </c>
      <c r="V7" s="28" t="s">
        <v>47</v>
      </c>
      <c r="W7" s="28" t="s">
        <v>48</v>
      </c>
      <c r="X7" s="28">
        <v>24</v>
      </c>
      <c r="Y7" s="5" t="s">
        <v>49</v>
      </c>
      <c r="Z7" s="5" t="s">
        <v>50</v>
      </c>
      <c r="AA7" s="28">
        <v>27</v>
      </c>
      <c r="AB7" s="28">
        <v>28</v>
      </c>
      <c r="AC7" s="6">
        <v>29</v>
      </c>
    </row>
    <row r="8" spans="1:29" s="3" customFormat="1">
      <c r="A8" s="7">
        <v>1</v>
      </c>
      <c r="B8" s="8" t="s">
        <v>5</v>
      </c>
      <c r="C8" s="29">
        <v>3000</v>
      </c>
      <c r="D8" s="29">
        <f>1+8</f>
        <v>9</v>
      </c>
      <c r="E8" s="29">
        <v>12</v>
      </c>
      <c r="F8" s="21">
        <v>1.018</v>
      </c>
      <c r="G8" s="23">
        <f>C8*D8*E8*F8</f>
        <v>329832</v>
      </c>
      <c r="H8" s="29">
        <v>2500</v>
      </c>
      <c r="I8" s="29">
        <v>0</v>
      </c>
      <c r="J8" s="29">
        <v>12</v>
      </c>
      <c r="K8" s="21">
        <v>1.018</v>
      </c>
      <c r="L8" s="23">
        <f>H8*I8*J8*K8</f>
        <v>0</v>
      </c>
      <c r="M8" s="29">
        <v>2200</v>
      </c>
      <c r="N8" s="29">
        <v>0</v>
      </c>
      <c r="O8" s="29">
        <v>12</v>
      </c>
      <c r="P8" s="21">
        <v>1.018</v>
      </c>
      <c r="Q8" s="23">
        <f>M8*N8*O8*P8</f>
        <v>0</v>
      </c>
      <c r="R8" s="25">
        <f>ROUND(G8+L8+Q8,0)</f>
        <v>329832</v>
      </c>
      <c r="S8" s="9">
        <f>ROUND(R8*95/100,0)+1</f>
        <v>313341</v>
      </c>
      <c r="T8" s="9">
        <f>ROUND(R8*5/100,0)-1</f>
        <v>16491</v>
      </c>
      <c r="U8" s="25">
        <f>R8</f>
        <v>329832</v>
      </c>
      <c r="V8" s="9">
        <f>S8</f>
        <v>313341</v>
      </c>
      <c r="W8" s="9">
        <f>T8</f>
        <v>16491</v>
      </c>
      <c r="X8" s="25">
        <f>R8</f>
        <v>329832</v>
      </c>
      <c r="Y8" s="9">
        <f>S8</f>
        <v>313341</v>
      </c>
      <c r="Z8" s="9">
        <f>T8</f>
        <v>16491</v>
      </c>
      <c r="AA8" s="9">
        <f>ROUND(S8*$AA$40,0)</f>
        <v>177182</v>
      </c>
      <c r="AB8" s="9">
        <f>ROUND(V8*$AA$41,0)</f>
        <v>177182</v>
      </c>
      <c r="AC8" s="9">
        <f>AB8</f>
        <v>177182</v>
      </c>
    </row>
    <row r="9" spans="1:29" s="3" customFormat="1">
      <c r="A9" s="7">
        <v>2</v>
      </c>
      <c r="B9" s="8" t="s">
        <v>6</v>
      </c>
      <c r="C9" s="29">
        <v>3000</v>
      </c>
      <c r="D9" s="29">
        <f>2+16</f>
        <v>18</v>
      </c>
      <c r="E9" s="29">
        <v>12</v>
      </c>
      <c r="F9" s="21">
        <v>1.018</v>
      </c>
      <c r="G9" s="23">
        <f t="shared" ref="G9:G35" si="0">C9*D9*E9*F9</f>
        <v>659664</v>
      </c>
      <c r="H9" s="29">
        <v>2500</v>
      </c>
      <c r="I9" s="29">
        <v>0</v>
      </c>
      <c r="J9" s="29">
        <v>12</v>
      </c>
      <c r="K9" s="21">
        <v>1.018</v>
      </c>
      <c r="L9" s="23">
        <f t="shared" ref="L9:L35" si="1">H9*I9*J9*K9</f>
        <v>0</v>
      </c>
      <c r="M9" s="29">
        <v>2200</v>
      </c>
      <c r="N9" s="29">
        <v>0</v>
      </c>
      <c r="O9" s="29">
        <v>12</v>
      </c>
      <c r="P9" s="21">
        <v>1.018</v>
      </c>
      <c r="Q9" s="23">
        <f t="shared" ref="Q9:Q35" si="2">M9*N9*O9*P9</f>
        <v>0</v>
      </c>
      <c r="R9" s="25">
        <f t="shared" ref="R9:R35" si="3">ROUND(G9+L9+Q9,0)</f>
        <v>659664</v>
      </c>
      <c r="S9" s="9">
        <f t="shared" ref="S9:S35" si="4">ROUND(R9*95/100,0)</f>
        <v>626681</v>
      </c>
      <c r="T9" s="9">
        <f t="shared" ref="T9:T35" si="5">ROUND(R9*5/100,0)</f>
        <v>32983</v>
      </c>
      <c r="U9" s="25">
        <f t="shared" ref="U9:W35" si="6">R9</f>
        <v>659664</v>
      </c>
      <c r="V9" s="9">
        <f t="shared" si="6"/>
        <v>626681</v>
      </c>
      <c r="W9" s="9">
        <f t="shared" si="6"/>
        <v>32983</v>
      </c>
      <c r="X9" s="25">
        <f t="shared" ref="X9:Z35" si="7">R9</f>
        <v>659664</v>
      </c>
      <c r="Y9" s="9">
        <f t="shared" si="7"/>
        <v>626681</v>
      </c>
      <c r="Z9" s="9">
        <f t="shared" si="7"/>
        <v>32983</v>
      </c>
      <c r="AA9" s="9">
        <f t="shared" ref="AA9:AA35" si="8">ROUND(S9*$AA$40,0)</f>
        <v>354362</v>
      </c>
      <c r="AB9" s="9">
        <f t="shared" ref="AB9:AB35" si="9">ROUND(V9*$AA$41,0)</f>
        <v>354362</v>
      </c>
      <c r="AC9" s="9">
        <f t="shared" ref="AC9:AC35" si="10">AB9</f>
        <v>354362</v>
      </c>
    </row>
    <row r="10" spans="1:29" s="3" customFormat="1">
      <c r="A10" s="7">
        <v>3</v>
      </c>
      <c r="B10" s="8" t="s">
        <v>7</v>
      </c>
      <c r="C10" s="29">
        <v>3000</v>
      </c>
      <c r="D10" s="29">
        <f>1+25</f>
        <v>26</v>
      </c>
      <c r="E10" s="29">
        <v>12</v>
      </c>
      <c r="F10" s="21">
        <v>1.018</v>
      </c>
      <c r="G10" s="23">
        <f t="shared" si="0"/>
        <v>952848</v>
      </c>
      <c r="H10" s="29">
        <v>2500</v>
      </c>
      <c r="I10" s="29">
        <v>1</v>
      </c>
      <c r="J10" s="29">
        <v>12</v>
      </c>
      <c r="K10" s="21">
        <v>1.018</v>
      </c>
      <c r="L10" s="23">
        <f t="shared" si="1"/>
        <v>30540</v>
      </c>
      <c r="M10" s="29">
        <v>2200</v>
      </c>
      <c r="N10" s="29">
        <v>0</v>
      </c>
      <c r="O10" s="29">
        <v>12</v>
      </c>
      <c r="P10" s="21">
        <v>1.018</v>
      </c>
      <c r="Q10" s="23">
        <f t="shared" si="2"/>
        <v>0</v>
      </c>
      <c r="R10" s="25">
        <f t="shared" si="3"/>
        <v>983388</v>
      </c>
      <c r="S10" s="9">
        <f t="shared" si="4"/>
        <v>934219</v>
      </c>
      <c r="T10" s="9">
        <f t="shared" si="5"/>
        <v>49169</v>
      </c>
      <c r="U10" s="25">
        <f t="shared" si="6"/>
        <v>983388</v>
      </c>
      <c r="V10" s="9">
        <f t="shared" si="6"/>
        <v>934219</v>
      </c>
      <c r="W10" s="9">
        <f t="shared" si="6"/>
        <v>49169</v>
      </c>
      <c r="X10" s="25">
        <f t="shared" si="7"/>
        <v>983388</v>
      </c>
      <c r="Y10" s="9">
        <f t="shared" si="7"/>
        <v>934219</v>
      </c>
      <c r="Z10" s="9">
        <f t="shared" si="7"/>
        <v>49169</v>
      </c>
      <c r="AA10" s="9">
        <f t="shared" si="8"/>
        <v>528263</v>
      </c>
      <c r="AB10" s="9">
        <f t="shared" si="9"/>
        <v>528263</v>
      </c>
      <c r="AC10" s="9">
        <f t="shared" si="10"/>
        <v>528263</v>
      </c>
    </row>
    <row r="11" spans="1:29" s="3" customFormat="1">
      <c r="A11" s="7">
        <v>4</v>
      </c>
      <c r="B11" s="8" t="s">
        <v>8</v>
      </c>
      <c r="C11" s="29">
        <v>3000</v>
      </c>
      <c r="D11" s="29">
        <f>3+16</f>
        <v>19</v>
      </c>
      <c r="E11" s="29">
        <v>12</v>
      </c>
      <c r="F11" s="21">
        <v>1.018</v>
      </c>
      <c r="G11" s="23">
        <f t="shared" si="0"/>
        <v>696312</v>
      </c>
      <c r="H11" s="29">
        <v>2500</v>
      </c>
      <c r="I11" s="29">
        <v>0</v>
      </c>
      <c r="J11" s="29">
        <v>12</v>
      </c>
      <c r="K11" s="21">
        <v>1.018</v>
      </c>
      <c r="L11" s="23">
        <f t="shared" si="1"/>
        <v>0</v>
      </c>
      <c r="M11" s="29">
        <v>2200</v>
      </c>
      <c r="N11" s="29">
        <v>0</v>
      </c>
      <c r="O11" s="29">
        <v>12</v>
      </c>
      <c r="P11" s="21">
        <v>1.018</v>
      </c>
      <c r="Q11" s="23">
        <f t="shared" si="2"/>
        <v>0</v>
      </c>
      <c r="R11" s="25">
        <f t="shared" si="3"/>
        <v>696312</v>
      </c>
      <c r="S11" s="9">
        <f t="shared" si="4"/>
        <v>661496</v>
      </c>
      <c r="T11" s="9">
        <f t="shared" si="5"/>
        <v>34816</v>
      </c>
      <c r="U11" s="25">
        <f t="shared" si="6"/>
        <v>696312</v>
      </c>
      <c r="V11" s="9">
        <f t="shared" si="6"/>
        <v>661496</v>
      </c>
      <c r="W11" s="9">
        <f t="shared" si="6"/>
        <v>34816</v>
      </c>
      <c r="X11" s="25">
        <f t="shared" si="7"/>
        <v>696312</v>
      </c>
      <c r="Y11" s="9">
        <f t="shared" si="7"/>
        <v>661496</v>
      </c>
      <c r="Z11" s="9">
        <f t="shared" si="7"/>
        <v>34816</v>
      </c>
      <c r="AA11" s="9">
        <f t="shared" si="8"/>
        <v>374049</v>
      </c>
      <c r="AB11" s="9">
        <f t="shared" si="9"/>
        <v>374049</v>
      </c>
      <c r="AC11" s="9">
        <f t="shared" si="10"/>
        <v>374049</v>
      </c>
    </row>
    <row r="12" spans="1:29" s="3" customFormat="1">
      <c r="A12" s="7">
        <v>5</v>
      </c>
      <c r="B12" s="10" t="s">
        <v>9</v>
      </c>
      <c r="C12" s="29">
        <v>3000</v>
      </c>
      <c r="D12" s="29">
        <f>0+0</f>
        <v>0</v>
      </c>
      <c r="E12" s="29">
        <v>12</v>
      </c>
      <c r="F12" s="21">
        <v>1.018</v>
      </c>
      <c r="G12" s="23">
        <f t="shared" si="0"/>
        <v>0</v>
      </c>
      <c r="H12" s="29">
        <v>2500</v>
      </c>
      <c r="I12" s="29">
        <v>0</v>
      </c>
      <c r="J12" s="29">
        <v>12</v>
      </c>
      <c r="K12" s="21">
        <v>1.018</v>
      </c>
      <c r="L12" s="23">
        <f t="shared" si="1"/>
        <v>0</v>
      </c>
      <c r="M12" s="29">
        <v>2200</v>
      </c>
      <c r="N12" s="29">
        <v>0</v>
      </c>
      <c r="O12" s="29">
        <v>12</v>
      </c>
      <c r="P12" s="21">
        <v>1.018</v>
      </c>
      <c r="Q12" s="23">
        <f t="shared" si="2"/>
        <v>0</v>
      </c>
      <c r="R12" s="25">
        <f t="shared" si="3"/>
        <v>0</v>
      </c>
      <c r="S12" s="9">
        <f t="shared" si="4"/>
        <v>0</v>
      </c>
      <c r="T12" s="9">
        <f t="shared" si="5"/>
        <v>0</v>
      </c>
      <c r="U12" s="25">
        <f t="shared" si="6"/>
        <v>0</v>
      </c>
      <c r="V12" s="9">
        <f t="shared" si="6"/>
        <v>0</v>
      </c>
      <c r="W12" s="9">
        <f t="shared" si="6"/>
        <v>0</v>
      </c>
      <c r="X12" s="25">
        <f t="shared" si="7"/>
        <v>0</v>
      </c>
      <c r="Y12" s="9">
        <f t="shared" si="7"/>
        <v>0</v>
      </c>
      <c r="Z12" s="9">
        <f t="shared" si="7"/>
        <v>0</v>
      </c>
      <c r="AA12" s="9">
        <f t="shared" si="8"/>
        <v>0</v>
      </c>
      <c r="AB12" s="9">
        <f t="shared" si="9"/>
        <v>0</v>
      </c>
      <c r="AC12" s="9">
        <f t="shared" si="10"/>
        <v>0</v>
      </c>
    </row>
    <row r="13" spans="1:29" s="3" customFormat="1">
      <c r="A13" s="7">
        <v>6</v>
      </c>
      <c r="B13" s="10" t="s">
        <v>10</v>
      </c>
      <c r="C13" s="29">
        <v>3000</v>
      </c>
      <c r="D13" s="29">
        <f>4+17</f>
        <v>21</v>
      </c>
      <c r="E13" s="29">
        <v>12</v>
      </c>
      <c r="F13" s="21">
        <v>1.018</v>
      </c>
      <c r="G13" s="23">
        <f t="shared" si="0"/>
        <v>769608</v>
      </c>
      <c r="H13" s="29">
        <v>2500</v>
      </c>
      <c r="I13" s="29">
        <v>0</v>
      </c>
      <c r="J13" s="29">
        <v>12</v>
      </c>
      <c r="K13" s="21">
        <v>1.018</v>
      </c>
      <c r="L13" s="23">
        <f t="shared" si="1"/>
        <v>0</v>
      </c>
      <c r="M13" s="29">
        <v>2200</v>
      </c>
      <c r="N13" s="29">
        <v>0</v>
      </c>
      <c r="O13" s="29">
        <v>12</v>
      </c>
      <c r="P13" s="21">
        <v>1.018</v>
      </c>
      <c r="Q13" s="23">
        <f t="shared" si="2"/>
        <v>0</v>
      </c>
      <c r="R13" s="25">
        <f t="shared" si="3"/>
        <v>769608</v>
      </c>
      <c r="S13" s="9">
        <f t="shared" si="4"/>
        <v>731128</v>
      </c>
      <c r="T13" s="9">
        <f t="shared" si="5"/>
        <v>38480</v>
      </c>
      <c r="U13" s="25">
        <f t="shared" si="6"/>
        <v>769608</v>
      </c>
      <c r="V13" s="9">
        <f t="shared" si="6"/>
        <v>731128</v>
      </c>
      <c r="W13" s="9">
        <f t="shared" si="6"/>
        <v>38480</v>
      </c>
      <c r="X13" s="25">
        <f t="shared" si="7"/>
        <v>769608</v>
      </c>
      <c r="Y13" s="9">
        <f t="shared" si="7"/>
        <v>731128</v>
      </c>
      <c r="Z13" s="9">
        <f t="shared" si="7"/>
        <v>38480</v>
      </c>
      <c r="AA13" s="9">
        <f t="shared" si="8"/>
        <v>413423</v>
      </c>
      <c r="AB13" s="9">
        <f t="shared" si="9"/>
        <v>413423</v>
      </c>
      <c r="AC13" s="9">
        <f t="shared" si="10"/>
        <v>413423</v>
      </c>
    </row>
    <row r="14" spans="1:29" s="3" customFormat="1">
      <c r="A14" s="7">
        <v>7</v>
      </c>
      <c r="B14" s="10" t="s">
        <v>11</v>
      </c>
      <c r="C14" s="29">
        <v>3000</v>
      </c>
      <c r="D14" s="29">
        <f>3+6</f>
        <v>9</v>
      </c>
      <c r="E14" s="29">
        <v>12</v>
      </c>
      <c r="F14" s="21">
        <v>1.018</v>
      </c>
      <c r="G14" s="23">
        <f t="shared" si="0"/>
        <v>329832</v>
      </c>
      <c r="H14" s="29">
        <v>2500</v>
      </c>
      <c r="I14" s="29">
        <v>0</v>
      </c>
      <c r="J14" s="29">
        <v>12</v>
      </c>
      <c r="K14" s="21">
        <v>1.018</v>
      </c>
      <c r="L14" s="23">
        <f t="shared" si="1"/>
        <v>0</v>
      </c>
      <c r="M14" s="29">
        <v>2200</v>
      </c>
      <c r="N14" s="29">
        <v>0</v>
      </c>
      <c r="O14" s="29">
        <v>12</v>
      </c>
      <c r="P14" s="21">
        <v>1.018</v>
      </c>
      <c r="Q14" s="23">
        <f t="shared" si="2"/>
        <v>0</v>
      </c>
      <c r="R14" s="25">
        <f t="shared" si="3"/>
        <v>329832</v>
      </c>
      <c r="S14" s="9">
        <f t="shared" si="4"/>
        <v>313340</v>
      </c>
      <c r="T14" s="9">
        <f t="shared" si="5"/>
        <v>16492</v>
      </c>
      <c r="U14" s="25">
        <f t="shared" si="6"/>
        <v>329832</v>
      </c>
      <c r="V14" s="9">
        <f t="shared" si="6"/>
        <v>313340</v>
      </c>
      <c r="W14" s="9">
        <f t="shared" si="6"/>
        <v>16492</v>
      </c>
      <c r="X14" s="25">
        <f t="shared" si="7"/>
        <v>329832</v>
      </c>
      <c r="Y14" s="9">
        <f t="shared" si="7"/>
        <v>313340</v>
      </c>
      <c r="Z14" s="9">
        <f t="shared" si="7"/>
        <v>16492</v>
      </c>
      <c r="AA14" s="9">
        <f t="shared" si="8"/>
        <v>177181</v>
      </c>
      <c r="AB14" s="9">
        <f t="shared" si="9"/>
        <v>177181</v>
      </c>
      <c r="AC14" s="9">
        <f t="shared" si="10"/>
        <v>177181</v>
      </c>
    </row>
    <row r="15" spans="1:29" s="3" customFormat="1">
      <c r="A15" s="7">
        <v>8</v>
      </c>
      <c r="B15" s="10" t="s">
        <v>12</v>
      </c>
      <c r="C15" s="29">
        <v>3000</v>
      </c>
      <c r="D15" s="29">
        <f>1+13</f>
        <v>14</v>
      </c>
      <c r="E15" s="29">
        <v>12</v>
      </c>
      <c r="F15" s="21">
        <v>1.018</v>
      </c>
      <c r="G15" s="23">
        <f t="shared" si="0"/>
        <v>513072</v>
      </c>
      <c r="H15" s="29">
        <v>2500</v>
      </c>
      <c r="I15" s="29">
        <v>0</v>
      </c>
      <c r="J15" s="29">
        <v>12</v>
      </c>
      <c r="K15" s="21">
        <v>1.018</v>
      </c>
      <c r="L15" s="23">
        <f t="shared" si="1"/>
        <v>0</v>
      </c>
      <c r="M15" s="29">
        <v>2200</v>
      </c>
      <c r="N15" s="29">
        <v>0</v>
      </c>
      <c r="O15" s="29">
        <v>12</v>
      </c>
      <c r="P15" s="21">
        <v>1.018</v>
      </c>
      <c r="Q15" s="23">
        <f t="shared" si="2"/>
        <v>0</v>
      </c>
      <c r="R15" s="25">
        <f t="shared" si="3"/>
        <v>513072</v>
      </c>
      <c r="S15" s="9">
        <f t="shared" si="4"/>
        <v>487418</v>
      </c>
      <c r="T15" s="9">
        <f t="shared" si="5"/>
        <v>25654</v>
      </c>
      <c r="U15" s="25">
        <f t="shared" si="6"/>
        <v>513072</v>
      </c>
      <c r="V15" s="9">
        <f t="shared" si="6"/>
        <v>487418</v>
      </c>
      <c r="W15" s="9">
        <f t="shared" si="6"/>
        <v>25654</v>
      </c>
      <c r="X15" s="25">
        <f t="shared" si="7"/>
        <v>513072</v>
      </c>
      <c r="Y15" s="9">
        <f t="shared" si="7"/>
        <v>487418</v>
      </c>
      <c r="Z15" s="9">
        <f t="shared" si="7"/>
        <v>25654</v>
      </c>
      <c r="AA15" s="9">
        <f t="shared" si="8"/>
        <v>275615</v>
      </c>
      <c r="AB15" s="9">
        <f t="shared" si="9"/>
        <v>275615</v>
      </c>
      <c r="AC15" s="9">
        <f t="shared" si="10"/>
        <v>275615</v>
      </c>
    </row>
    <row r="16" spans="1:29" s="3" customFormat="1">
      <c r="A16" s="7">
        <v>9</v>
      </c>
      <c r="B16" s="10" t="s">
        <v>13</v>
      </c>
      <c r="C16" s="29">
        <v>3000</v>
      </c>
      <c r="D16" s="29">
        <f>1+9</f>
        <v>10</v>
      </c>
      <c r="E16" s="29">
        <v>12</v>
      </c>
      <c r="F16" s="21">
        <v>1.018</v>
      </c>
      <c r="G16" s="23">
        <f t="shared" si="0"/>
        <v>366480</v>
      </c>
      <c r="H16" s="29">
        <v>2500</v>
      </c>
      <c r="I16" s="29">
        <v>0</v>
      </c>
      <c r="J16" s="29">
        <v>12</v>
      </c>
      <c r="K16" s="21">
        <v>1.018</v>
      </c>
      <c r="L16" s="23">
        <f t="shared" si="1"/>
        <v>0</v>
      </c>
      <c r="M16" s="29">
        <v>2200</v>
      </c>
      <c r="N16" s="29">
        <v>0</v>
      </c>
      <c r="O16" s="29">
        <v>12</v>
      </c>
      <c r="P16" s="21">
        <v>1.018</v>
      </c>
      <c r="Q16" s="23">
        <f t="shared" si="2"/>
        <v>0</v>
      </c>
      <c r="R16" s="25">
        <f t="shared" si="3"/>
        <v>366480</v>
      </c>
      <c r="S16" s="9">
        <f t="shared" si="4"/>
        <v>348156</v>
      </c>
      <c r="T16" s="9">
        <f t="shared" si="5"/>
        <v>18324</v>
      </c>
      <c r="U16" s="25">
        <f t="shared" si="6"/>
        <v>366480</v>
      </c>
      <c r="V16" s="9">
        <f t="shared" si="6"/>
        <v>348156</v>
      </c>
      <c r="W16" s="9">
        <f t="shared" si="6"/>
        <v>18324</v>
      </c>
      <c r="X16" s="25">
        <f t="shared" si="7"/>
        <v>366480</v>
      </c>
      <c r="Y16" s="9">
        <f t="shared" si="7"/>
        <v>348156</v>
      </c>
      <c r="Z16" s="9">
        <f t="shared" si="7"/>
        <v>18324</v>
      </c>
      <c r="AA16" s="9">
        <f t="shared" si="8"/>
        <v>196868</v>
      </c>
      <c r="AB16" s="9">
        <f t="shared" si="9"/>
        <v>196868</v>
      </c>
      <c r="AC16" s="9">
        <f t="shared" si="10"/>
        <v>196868</v>
      </c>
    </row>
    <row r="17" spans="1:29" s="3" customFormat="1">
      <c r="A17" s="7">
        <v>10</v>
      </c>
      <c r="B17" s="10" t="s">
        <v>14</v>
      </c>
      <c r="C17" s="29">
        <v>3000</v>
      </c>
      <c r="D17" s="29">
        <f>4+14</f>
        <v>18</v>
      </c>
      <c r="E17" s="29">
        <v>12</v>
      </c>
      <c r="F17" s="21">
        <v>1.018</v>
      </c>
      <c r="G17" s="23">
        <f t="shared" si="0"/>
        <v>659664</v>
      </c>
      <c r="H17" s="29">
        <v>2500</v>
      </c>
      <c r="I17" s="29">
        <v>0</v>
      </c>
      <c r="J17" s="29">
        <v>12</v>
      </c>
      <c r="K17" s="21">
        <v>1.018</v>
      </c>
      <c r="L17" s="23">
        <f t="shared" si="1"/>
        <v>0</v>
      </c>
      <c r="M17" s="29">
        <v>2200</v>
      </c>
      <c r="N17" s="29">
        <v>0</v>
      </c>
      <c r="O17" s="29">
        <v>12</v>
      </c>
      <c r="P17" s="21">
        <v>1.018</v>
      </c>
      <c r="Q17" s="23">
        <f t="shared" si="2"/>
        <v>0</v>
      </c>
      <c r="R17" s="25">
        <f t="shared" si="3"/>
        <v>659664</v>
      </c>
      <c r="S17" s="9">
        <f t="shared" si="4"/>
        <v>626681</v>
      </c>
      <c r="T17" s="9">
        <f t="shared" si="5"/>
        <v>32983</v>
      </c>
      <c r="U17" s="25">
        <f t="shared" si="6"/>
        <v>659664</v>
      </c>
      <c r="V17" s="9">
        <f t="shared" si="6"/>
        <v>626681</v>
      </c>
      <c r="W17" s="9">
        <f t="shared" si="6"/>
        <v>32983</v>
      </c>
      <c r="X17" s="25">
        <f t="shared" si="7"/>
        <v>659664</v>
      </c>
      <c r="Y17" s="9">
        <f t="shared" si="7"/>
        <v>626681</v>
      </c>
      <c r="Z17" s="9">
        <f t="shared" si="7"/>
        <v>32983</v>
      </c>
      <c r="AA17" s="9">
        <f t="shared" si="8"/>
        <v>354362</v>
      </c>
      <c r="AB17" s="9">
        <f t="shared" si="9"/>
        <v>354362</v>
      </c>
      <c r="AC17" s="9">
        <f t="shared" si="10"/>
        <v>354362</v>
      </c>
    </row>
    <row r="18" spans="1:29" s="3" customFormat="1">
      <c r="A18" s="7">
        <v>11</v>
      </c>
      <c r="B18" s="10" t="s">
        <v>15</v>
      </c>
      <c r="C18" s="29">
        <v>3000</v>
      </c>
      <c r="D18" s="29">
        <f>4+32</f>
        <v>36</v>
      </c>
      <c r="E18" s="29">
        <v>12</v>
      </c>
      <c r="F18" s="21">
        <v>1.018</v>
      </c>
      <c r="G18" s="23">
        <f t="shared" si="0"/>
        <v>1319328</v>
      </c>
      <c r="H18" s="29">
        <v>2500</v>
      </c>
      <c r="I18" s="29">
        <v>0</v>
      </c>
      <c r="J18" s="29">
        <v>12</v>
      </c>
      <c r="K18" s="21">
        <v>1.018</v>
      </c>
      <c r="L18" s="23">
        <f t="shared" si="1"/>
        <v>0</v>
      </c>
      <c r="M18" s="29">
        <v>2200</v>
      </c>
      <c r="N18" s="29">
        <v>0</v>
      </c>
      <c r="O18" s="29">
        <v>12</v>
      </c>
      <c r="P18" s="21">
        <v>1.018</v>
      </c>
      <c r="Q18" s="23">
        <f t="shared" si="2"/>
        <v>0</v>
      </c>
      <c r="R18" s="25">
        <f t="shared" si="3"/>
        <v>1319328</v>
      </c>
      <c r="S18" s="9">
        <f t="shared" si="4"/>
        <v>1253362</v>
      </c>
      <c r="T18" s="9">
        <f t="shared" si="5"/>
        <v>65966</v>
      </c>
      <c r="U18" s="25">
        <f t="shared" si="6"/>
        <v>1319328</v>
      </c>
      <c r="V18" s="9">
        <f t="shared" si="6"/>
        <v>1253362</v>
      </c>
      <c r="W18" s="9">
        <f t="shared" si="6"/>
        <v>65966</v>
      </c>
      <c r="X18" s="25">
        <f t="shared" si="7"/>
        <v>1319328</v>
      </c>
      <c r="Y18" s="9">
        <f t="shared" si="7"/>
        <v>1253362</v>
      </c>
      <c r="Z18" s="9">
        <f t="shared" si="7"/>
        <v>65966</v>
      </c>
      <c r="AA18" s="9">
        <f t="shared" si="8"/>
        <v>708725</v>
      </c>
      <c r="AB18" s="9">
        <f t="shared" si="9"/>
        <v>708725</v>
      </c>
      <c r="AC18" s="9">
        <f t="shared" si="10"/>
        <v>708725</v>
      </c>
    </row>
    <row r="19" spans="1:29" s="3" customFormat="1">
      <c r="A19" s="7">
        <v>12</v>
      </c>
      <c r="B19" s="10" t="s">
        <v>16</v>
      </c>
      <c r="C19" s="29">
        <v>3000</v>
      </c>
      <c r="D19" s="29">
        <f>1+21</f>
        <v>22</v>
      </c>
      <c r="E19" s="29">
        <v>12</v>
      </c>
      <c r="F19" s="21">
        <v>1.018</v>
      </c>
      <c r="G19" s="23">
        <f t="shared" si="0"/>
        <v>806256</v>
      </c>
      <c r="H19" s="29">
        <v>2500</v>
      </c>
      <c r="I19" s="29">
        <v>0</v>
      </c>
      <c r="J19" s="29">
        <v>12</v>
      </c>
      <c r="K19" s="21">
        <v>1.018</v>
      </c>
      <c r="L19" s="23">
        <f t="shared" si="1"/>
        <v>0</v>
      </c>
      <c r="M19" s="29">
        <v>2200</v>
      </c>
      <c r="N19" s="29">
        <v>0</v>
      </c>
      <c r="O19" s="29">
        <v>12</v>
      </c>
      <c r="P19" s="21">
        <v>1.018</v>
      </c>
      <c r="Q19" s="23">
        <f t="shared" si="2"/>
        <v>0</v>
      </c>
      <c r="R19" s="25">
        <f t="shared" si="3"/>
        <v>806256</v>
      </c>
      <c r="S19" s="9">
        <f t="shared" si="4"/>
        <v>765943</v>
      </c>
      <c r="T19" s="9">
        <f t="shared" si="5"/>
        <v>40313</v>
      </c>
      <c r="U19" s="25">
        <f t="shared" si="6"/>
        <v>806256</v>
      </c>
      <c r="V19" s="9">
        <f t="shared" si="6"/>
        <v>765943</v>
      </c>
      <c r="W19" s="9">
        <f t="shared" si="6"/>
        <v>40313</v>
      </c>
      <c r="X19" s="25">
        <f t="shared" si="7"/>
        <v>806256</v>
      </c>
      <c r="Y19" s="9">
        <f t="shared" si="7"/>
        <v>765943</v>
      </c>
      <c r="Z19" s="9">
        <f t="shared" si="7"/>
        <v>40313</v>
      </c>
      <c r="AA19" s="9">
        <f t="shared" si="8"/>
        <v>433109</v>
      </c>
      <c r="AB19" s="9">
        <f t="shared" si="9"/>
        <v>433109</v>
      </c>
      <c r="AC19" s="9">
        <f t="shared" si="10"/>
        <v>433109</v>
      </c>
    </row>
    <row r="20" spans="1:29" s="3" customFormat="1">
      <c r="A20" s="7">
        <v>13</v>
      </c>
      <c r="B20" s="10" t="s">
        <v>17</v>
      </c>
      <c r="C20" s="29">
        <v>3000</v>
      </c>
      <c r="D20" s="29">
        <f>2+6</f>
        <v>8</v>
      </c>
      <c r="E20" s="29">
        <v>12</v>
      </c>
      <c r="F20" s="21">
        <v>1.018</v>
      </c>
      <c r="G20" s="23">
        <f t="shared" si="0"/>
        <v>293184</v>
      </c>
      <c r="H20" s="29">
        <v>2500</v>
      </c>
      <c r="I20" s="29">
        <v>0</v>
      </c>
      <c r="J20" s="29">
        <v>12</v>
      </c>
      <c r="K20" s="21">
        <v>1.018</v>
      </c>
      <c r="L20" s="23">
        <f t="shared" si="1"/>
        <v>0</v>
      </c>
      <c r="M20" s="29">
        <v>2200</v>
      </c>
      <c r="N20" s="29">
        <v>0</v>
      </c>
      <c r="O20" s="29">
        <v>12</v>
      </c>
      <c r="P20" s="21">
        <v>1.018</v>
      </c>
      <c r="Q20" s="23">
        <f t="shared" si="2"/>
        <v>0</v>
      </c>
      <c r="R20" s="25">
        <f t="shared" si="3"/>
        <v>293184</v>
      </c>
      <c r="S20" s="9">
        <f t="shared" si="4"/>
        <v>278525</v>
      </c>
      <c r="T20" s="9">
        <f t="shared" si="5"/>
        <v>14659</v>
      </c>
      <c r="U20" s="25">
        <f t="shared" si="6"/>
        <v>293184</v>
      </c>
      <c r="V20" s="9">
        <f t="shared" si="6"/>
        <v>278525</v>
      </c>
      <c r="W20" s="9">
        <f t="shared" si="6"/>
        <v>14659</v>
      </c>
      <c r="X20" s="25">
        <f t="shared" si="7"/>
        <v>293184</v>
      </c>
      <c r="Y20" s="9">
        <f t="shared" si="7"/>
        <v>278525</v>
      </c>
      <c r="Z20" s="9">
        <f t="shared" si="7"/>
        <v>14659</v>
      </c>
      <c r="AA20" s="9">
        <f>ROUND(S20*$AA$40,0)+1</f>
        <v>157495</v>
      </c>
      <c r="AB20" s="9">
        <f>ROUND(V20*$AA$41,0)+1</f>
        <v>157495</v>
      </c>
      <c r="AC20" s="9">
        <f t="shared" si="10"/>
        <v>157495</v>
      </c>
    </row>
    <row r="21" spans="1:29" s="3" customFormat="1">
      <c r="A21" s="7">
        <v>14</v>
      </c>
      <c r="B21" s="10" t="s">
        <v>18</v>
      </c>
      <c r="C21" s="29">
        <v>3000</v>
      </c>
      <c r="D21" s="29">
        <f>1+8</f>
        <v>9</v>
      </c>
      <c r="E21" s="29">
        <v>12</v>
      </c>
      <c r="F21" s="21">
        <v>1.018</v>
      </c>
      <c r="G21" s="23">
        <f t="shared" si="0"/>
        <v>329832</v>
      </c>
      <c r="H21" s="29">
        <v>2500</v>
      </c>
      <c r="I21" s="29">
        <v>0</v>
      </c>
      <c r="J21" s="29">
        <v>12</v>
      </c>
      <c r="K21" s="21">
        <v>1.018</v>
      </c>
      <c r="L21" s="23">
        <f t="shared" si="1"/>
        <v>0</v>
      </c>
      <c r="M21" s="29">
        <v>2200</v>
      </c>
      <c r="N21" s="29">
        <v>0</v>
      </c>
      <c r="O21" s="29">
        <v>12</v>
      </c>
      <c r="P21" s="21">
        <v>1.018</v>
      </c>
      <c r="Q21" s="23">
        <f t="shared" si="2"/>
        <v>0</v>
      </c>
      <c r="R21" s="25">
        <f t="shared" si="3"/>
        <v>329832</v>
      </c>
      <c r="S21" s="9">
        <f t="shared" si="4"/>
        <v>313340</v>
      </c>
      <c r="T21" s="9">
        <f t="shared" si="5"/>
        <v>16492</v>
      </c>
      <c r="U21" s="25">
        <f t="shared" si="6"/>
        <v>329832</v>
      </c>
      <c r="V21" s="9">
        <f t="shared" si="6"/>
        <v>313340</v>
      </c>
      <c r="W21" s="9">
        <f t="shared" si="6"/>
        <v>16492</v>
      </c>
      <c r="X21" s="25">
        <f t="shared" si="7"/>
        <v>329832</v>
      </c>
      <c r="Y21" s="9">
        <f t="shared" si="7"/>
        <v>313340</v>
      </c>
      <c r="Z21" s="9">
        <f t="shared" si="7"/>
        <v>16492</v>
      </c>
      <c r="AA21" s="9">
        <f t="shared" si="8"/>
        <v>177181</v>
      </c>
      <c r="AB21" s="9">
        <f t="shared" si="9"/>
        <v>177181</v>
      </c>
      <c r="AC21" s="9">
        <f t="shared" si="10"/>
        <v>177181</v>
      </c>
    </row>
    <row r="22" spans="1:29" s="3" customFormat="1">
      <c r="A22" s="7">
        <v>15</v>
      </c>
      <c r="B22" s="10" t="s">
        <v>19</v>
      </c>
      <c r="C22" s="29">
        <v>3000</v>
      </c>
      <c r="D22" s="29">
        <f>4+9</f>
        <v>13</v>
      </c>
      <c r="E22" s="29">
        <v>12</v>
      </c>
      <c r="F22" s="21">
        <v>1.018</v>
      </c>
      <c r="G22" s="23">
        <f t="shared" si="0"/>
        <v>476424</v>
      </c>
      <c r="H22" s="29">
        <v>2500</v>
      </c>
      <c r="I22" s="29">
        <v>0</v>
      </c>
      <c r="J22" s="29">
        <v>12</v>
      </c>
      <c r="K22" s="21">
        <v>1.018</v>
      </c>
      <c r="L22" s="23">
        <f t="shared" si="1"/>
        <v>0</v>
      </c>
      <c r="M22" s="29">
        <v>2200</v>
      </c>
      <c r="N22" s="29">
        <v>0</v>
      </c>
      <c r="O22" s="29">
        <v>12</v>
      </c>
      <c r="P22" s="21">
        <v>1.018</v>
      </c>
      <c r="Q22" s="23">
        <f t="shared" si="2"/>
        <v>0</v>
      </c>
      <c r="R22" s="25">
        <f t="shared" si="3"/>
        <v>476424</v>
      </c>
      <c r="S22" s="9">
        <f t="shared" si="4"/>
        <v>452603</v>
      </c>
      <c r="T22" s="9">
        <f t="shared" si="5"/>
        <v>23821</v>
      </c>
      <c r="U22" s="25">
        <f t="shared" si="6"/>
        <v>476424</v>
      </c>
      <c r="V22" s="9">
        <f t="shared" si="6"/>
        <v>452603</v>
      </c>
      <c r="W22" s="9">
        <f t="shared" si="6"/>
        <v>23821</v>
      </c>
      <c r="X22" s="25">
        <f t="shared" si="7"/>
        <v>476424</v>
      </c>
      <c r="Y22" s="9">
        <f t="shared" si="7"/>
        <v>452603</v>
      </c>
      <c r="Z22" s="9">
        <f t="shared" si="7"/>
        <v>23821</v>
      </c>
      <c r="AA22" s="9">
        <f t="shared" si="8"/>
        <v>255928</v>
      </c>
      <c r="AB22" s="9">
        <f t="shared" si="9"/>
        <v>255928</v>
      </c>
      <c r="AC22" s="9">
        <f t="shared" si="10"/>
        <v>255928</v>
      </c>
    </row>
    <row r="23" spans="1:29" s="3" customFormat="1">
      <c r="A23" s="7">
        <v>16</v>
      </c>
      <c r="B23" s="10" t="s">
        <v>20</v>
      </c>
      <c r="C23" s="29">
        <v>3000</v>
      </c>
      <c r="D23" s="29">
        <f>0+3</f>
        <v>3</v>
      </c>
      <c r="E23" s="29">
        <v>12</v>
      </c>
      <c r="F23" s="21">
        <v>1.018</v>
      </c>
      <c r="G23" s="23">
        <f t="shared" si="0"/>
        <v>109944</v>
      </c>
      <c r="H23" s="29">
        <v>2500</v>
      </c>
      <c r="I23" s="29">
        <v>0</v>
      </c>
      <c r="J23" s="29">
        <v>12</v>
      </c>
      <c r="K23" s="21">
        <v>1.018</v>
      </c>
      <c r="L23" s="23">
        <f t="shared" si="1"/>
        <v>0</v>
      </c>
      <c r="M23" s="29">
        <v>2200</v>
      </c>
      <c r="N23" s="29">
        <v>0</v>
      </c>
      <c r="O23" s="29">
        <v>12</v>
      </c>
      <c r="P23" s="21">
        <v>1.018</v>
      </c>
      <c r="Q23" s="23">
        <f t="shared" si="2"/>
        <v>0</v>
      </c>
      <c r="R23" s="25">
        <f t="shared" si="3"/>
        <v>109944</v>
      </c>
      <c r="S23" s="9">
        <f t="shared" si="4"/>
        <v>104447</v>
      </c>
      <c r="T23" s="9">
        <f t="shared" si="5"/>
        <v>5497</v>
      </c>
      <c r="U23" s="25">
        <f t="shared" si="6"/>
        <v>109944</v>
      </c>
      <c r="V23" s="9">
        <f t="shared" si="6"/>
        <v>104447</v>
      </c>
      <c r="W23" s="9">
        <f t="shared" si="6"/>
        <v>5497</v>
      </c>
      <c r="X23" s="25">
        <f t="shared" si="7"/>
        <v>109944</v>
      </c>
      <c r="Y23" s="9">
        <f t="shared" si="7"/>
        <v>104447</v>
      </c>
      <c r="Z23" s="9">
        <f t="shared" si="7"/>
        <v>5497</v>
      </c>
      <c r="AA23" s="9">
        <f t="shared" si="8"/>
        <v>59061</v>
      </c>
      <c r="AB23" s="9">
        <f>ROUND(V23*$AA$41,0)</f>
        <v>59061</v>
      </c>
      <c r="AC23" s="9">
        <f t="shared" si="10"/>
        <v>59061</v>
      </c>
    </row>
    <row r="24" spans="1:29" s="3" customFormat="1">
      <c r="A24" s="7">
        <v>17</v>
      </c>
      <c r="B24" s="10" t="s">
        <v>21</v>
      </c>
      <c r="C24" s="29">
        <v>3000</v>
      </c>
      <c r="D24" s="29">
        <f>1+7</f>
        <v>8</v>
      </c>
      <c r="E24" s="29">
        <v>12</v>
      </c>
      <c r="F24" s="21">
        <v>1.018</v>
      </c>
      <c r="G24" s="23">
        <f t="shared" si="0"/>
        <v>293184</v>
      </c>
      <c r="H24" s="29">
        <v>2500</v>
      </c>
      <c r="I24" s="29">
        <v>0</v>
      </c>
      <c r="J24" s="29">
        <v>12</v>
      </c>
      <c r="K24" s="21">
        <v>1.018</v>
      </c>
      <c r="L24" s="23">
        <f t="shared" si="1"/>
        <v>0</v>
      </c>
      <c r="M24" s="29">
        <v>2200</v>
      </c>
      <c r="N24" s="29">
        <v>0</v>
      </c>
      <c r="O24" s="29">
        <v>12</v>
      </c>
      <c r="P24" s="21">
        <v>1.018</v>
      </c>
      <c r="Q24" s="23">
        <f t="shared" si="2"/>
        <v>0</v>
      </c>
      <c r="R24" s="25">
        <f t="shared" si="3"/>
        <v>293184</v>
      </c>
      <c r="S24" s="9">
        <f t="shared" si="4"/>
        <v>278525</v>
      </c>
      <c r="T24" s="9">
        <f t="shared" si="5"/>
        <v>14659</v>
      </c>
      <c r="U24" s="25">
        <f t="shared" si="6"/>
        <v>293184</v>
      </c>
      <c r="V24" s="9">
        <f t="shared" si="6"/>
        <v>278525</v>
      </c>
      <c r="W24" s="9">
        <f t="shared" si="6"/>
        <v>14659</v>
      </c>
      <c r="X24" s="25">
        <f t="shared" si="7"/>
        <v>293184</v>
      </c>
      <c r="Y24" s="9">
        <f t="shared" si="7"/>
        <v>278525</v>
      </c>
      <c r="Z24" s="9">
        <f t="shared" si="7"/>
        <v>14659</v>
      </c>
      <c r="AA24" s="9">
        <f>ROUND(S24*$AA$40,0)+1</f>
        <v>157495</v>
      </c>
      <c r="AB24" s="9">
        <f>ROUND(V24*$AA$41,0)+1</f>
        <v>157495</v>
      </c>
      <c r="AC24" s="9">
        <f t="shared" si="10"/>
        <v>157495</v>
      </c>
    </row>
    <row r="25" spans="1:29" s="3" customFormat="1">
      <c r="A25" s="7">
        <v>18</v>
      </c>
      <c r="B25" s="10" t="s">
        <v>22</v>
      </c>
      <c r="C25" s="29">
        <v>3000</v>
      </c>
      <c r="D25" s="29">
        <f>4+7</f>
        <v>11</v>
      </c>
      <c r="E25" s="29">
        <v>12</v>
      </c>
      <c r="F25" s="21">
        <v>1.018</v>
      </c>
      <c r="G25" s="23">
        <f t="shared" si="0"/>
        <v>403128</v>
      </c>
      <c r="H25" s="29">
        <v>2500</v>
      </c>
      <c r="I25" s="29">
        <v>0</v>
      </c>
      <c r="J25" s="29">
        <v>12</v>
      </c>
      <c r="K25" s="21">
        <v>1.018</v>
      </c>
      <c r="L25" s="23">
        <f t="shared" si="1"/>
        <v>0</v>
      </c>
      <c r="M25" s="29">
        <v>2200</v>
      </c>
      <c r="N25" s="29">
        <v>0</v>
      </c>
      <c r="O25" s="29">
        <v>12</v>
      </c>
      <c r="P25" s="21">
        <v>1.018</v>
      </c>
      <c r="Q25" s="23">
        <f t="shared" si="2"/>
        <v>0</v>
      </c>
      <c r="R25" s="25">
        <f t="shared" si="3"/>
        <v>403128</v>
      </c>
      <c r="S25" s="9">
        <f t="shared" si="4"/>
        <v>382972</v>
      </c>
      <c r="T25" s="9">
        <f t="shared" si="5"/>
        <v>20156</v>
      </c>
      <c r="U25" s="25">
        <f t="shared" si="6"/>
        <v>403128</v>
      </c>
      <c r="V25" s="9">
        <f t="shared" si="6"/>
        <v>382972</v>
      </c>
      <c r="W25" s="9">
        <f t="shared" si="6"/>
        <v>20156</v>
      </c>
      <c r="X25" s="25">
        <f t="shared" si="7"/>
        <v>403128</v>
      </c>
      <c r="Y25" s="9">
        <f t="shared" si="7"/>
        <v>382972</v>
      </c>
      <c r="Z25" s="9">
        <f t="shared" si="7"/>
        <v>20156</v>
      </c>
      <c r="AA25" s="9">
        <f t="shared" si="8"/>
        <v>216555</v>
      </c>
      <c r="AB25" s="9">
        <f t="shared" si="9"/>
        <v>216555</v>
      </c>
      <c r="AC25" s="9">
        <f t="shared" si="10"/>
        <v>216555</v>
      </c>
    </row>
    <row r="26" spans="1:29" s="3" customFormat="1">
      <c r="A26" s="7">
        <v>19</v>
      </c>
      <c r="B26" s="10" t="s">
        <v>23</v>
      </c>
      <c r="C26" s="29">
        <v>3000</v>
      </c>
      <c r="D26" s="29">
        <f>3+6</f>
        <v>9</v>
      </c>
      <c r="E26" s="29">
        <v>12</v>
      </c>
      <c r="F26" s="21">
        <v>1.018</v>
      </c>
      <c r="G26" s="23">
        <f t="shared" si="0"/>
        <v>329832</v>
      </c>
      <c r="H26" s="29">
        <v>2500</v>
      </c>
      <c r="I26" s="29">
        <v>0</v>
      </c>
      <c r="J26" s="29">
        <v>12</v>
      </c>
      <c r="K26" s="21">
        <v>1.018</v>
      </c>
      <c r="L26" s="23">
        <f t="shared" si="1"/>
        <v>0</v>
      </c>
      <c r="M26" s="29">
        <v>2200</v>
      </c>
      <c r="N26" s="29">
        <v>0</v>
      </c>
      <c r="O26" s="29">
        <v>12</v>
      </c>
      <c r="P26" s="21">
        <v>1.018</v>
      </c>
      <c r="Q26" s="23">
        <f t="shared" si="2"/>
        <v>0</v>
      </c>
      <c r="R26" s="25">
        <f t="shared" si="3"/>
        <v>329832</v>
      </c>
      <c r="S26" s="9">
        <f t="shared" si="4"/>
        <v>313340</v>
      </c>
      <c r="T26" s="9">
        <f t="shared" si="5"/>
        <v>16492</v>
      </c>
      <c r="U26" s="25">
        <f t="shared" si="6"/>
        <v>329832</v>
      </c>
      <c r="V26" s="9">
        <f t="shared" si="6"/>
        <v>313340</v>
      </c>
      <c r="W26" s="9">
        <f t="shared" si="6"/>
        <v>16492</v>
      </c>
      <c r="X26" s="25">
        <f t="shared" si="7"/>
        <v>329832</v>
      </c>
      <c r="Y26" s="9">
        <f t="shared" si="7"/>
        <v>313340</v>
      </c>
      <c r="Z26" s="9">
        <f t="shared" si="7"/>
        <v>16492</v>
      </c>
      <c r="AA26" s="9">
        <f t="shared" si="8"/>
        <v>177181</v>
      </c>
      <c r="AB26" s="9">
        <f t="shared" si="9"/>
        <v>177181</v>
      </c>
      <c r="AC26" s="9">
        <f t="shared" si="10"/>
        <v>177181</v>
      </c>
    </row>
    <row r="27" spans="1:29" s="3" customFormat="1">
      <c r="A27" s="7">
        <v>20</v>
      </c>
      <c r="B27" s="10" t="s">
        <v>24</v>
      </c>
      <c r="C27" s="29">
        <v>3000</v>
      </c>
      <c r="D27" s="29">
        <f>0+0</f>
        <v>0</v>
      </c>
      <c r="E27" s="29">
        <v>12</v>
      </c>
      <c r="F27" s="21">
        <v>1.018</v>
      </c>
      <c r="G27" s="23">
        <f t="shared" si="0"/>
        <v>0</v>
      </c>
      <c r="H27" s="29">
        <v>2500</v>
      </c>
      <c r="I27" s="29">
        <v>0</v>
      </c>
      <c r="J27" s="29">
        <v>12</v>
      </c>
      <c r="K27" s="21">
        <v>1.018</v>
      </c>
      <c r="L27" s="23">
        <f t="shared" si="1"/>
        <v>0</v>
      </c>
      <c r="M27" s="29">
        <v>2200</v>
      </c>
      <c r="N27" s="29">
        <v>0</v>
      </c>
      <c r="O27" s="29">
        <v>12</v>
      </c>
      <c r="P27" s="21">
        <v>1.018</v>
      </c>
      <c r="Q27" s="23">
        <f t="shared" si="2"/>
        <v>0</v>
      </c>
      <c r="R27" s="25">
        <f t="shared" si="3"/>
        <v>0</v>
      </c>
      <c r="S27" s="9">
        <f t="shared" si="4"/>
        <v>0</v>
      </c>
      <c r="T27" s="9">
        <f t="shared" si="5"/>
        <v>0</v>
      </c>
      <c r="U27" s="25">
        <f t="shared" si="6"/>
        <v>0</v>
      </c>
      <c r="V27" s="9">
        <f t="shared" si="6"/>
        <v>0</v>
      </c>
      <c r="W27" s="9">
        <f t="shared" si="6"/>
        <v>0</v>
      </c>
      <c r="X27" s="25">
        <f t="shared" si="7"/>
        <v>0</v>
      </c>
      <c r="Y27" s="9">
        <f t="shared" si="7"/>
        <v>0</v>
      </c>
      <c r="Z27" s="9">
        <f t="shared" si="7"/>
        <v>0</v>
      </c>
      <c r="AA27" s="9">
        <f t="shared" si="8"/>
        <v>0</v>
      </c>
      <c r="AB27" s="9">
        <f t="shared" si="9"/>
        <v>0</v>
      </c>
      <c r="AC27" s="9">
        <f t="shared" si="10"/>
        <v>0</v>
      </c>
    </row>
    <row r="28" spans="1:29" s="3" customFormat="1">
      <c r="A28" s="7">
        <v>21</v>
      </c>
      <c r="B28" s="10" t="s">
        <v>25</v>
      </c>
      <c r="C28" s="29">
        <v>3000</v>
      </c>
      <c r="D28" s="29">
        <f>1+18</f>
        <v>19</v>
      </c>
      <c r="E28" s="29">
        <v>12</v>
      </c>
      <c r="F28" s="21">
        <v>1.018</v>
      </c>
      <c r="G28" s="23">
        <f t="shared" si="0"/>
        <v>696312</v>
      </c>
      <c r="H28" s="29">
        <v>2500</v>
      </c>
      <c r="I28" s="29">
        <v>0</v>
      </c>
      <c r="J28" s="29">
        <v>12</v>
      </c>
      <c r="K28" s="21">
        <v>1.018</v>
      </c>
      <c r="L28" s="23">
        <f t="shared" si="1"/>
        <v>0</v>
      </c>
      <c r="M28" s="29">
        <v>2200</v>
      </c>
      <c r="N28" s="29">
        <v>0</v>
      </c>
      <c r="O28" s="29">
        <v>12</v>
      </c>
      <c r="P28" s="21">
        <v>1.018</v>
      </c>
      <c r="Q28" s="23">
        <f t="shared" si="2"/>
        <v>0</v>
      </c>
      <c r="R28" s="25">
        <f t="shared" si="3"/>
        <v>696312</v>
      </c>
      <c r="S28" s="9">
        <f t="shared" si="4"/>
        <v>661496</v>
      </c>
      <c r="T28" s="9">
        <f t="shared" si="5"/>
        <v>34816</v>
      </c>
      <c r="U28" s="25">
        <f t="shared" si="6"/>
        <v>696312</v>
      </c>
      <c r="V28" s="9">
        <f t="shared" si="6"/>
        <v>661496</v>
      </c>
      <c r="W28" s="9">
        <f t="shared" si="6"/>
        <v>34816</v>
      </c>
      <c r="X28" s="25">
        <f t="shared" si="7"/>
        <v>696312</v>
      </c>
      <c r="Y28" s="9">
        <f t="shared" si="7"/>
        <v>661496</v>
      </c>
      <c r="Z28" s="9">
        <f t="shared" si="7"/>
        <v>34816</v>
      </c>
      <c r="AA28" s="9">
        <f t="shared" si="8"/>
        <v>374049</v>
      </c>
      <c r="AB28" s="9">
        <f t="shared" si="9"/>
        <v>374049</v>
      </c>
      <c r="AC28" s="9">
        <f t="shared" si="10"/>
        <v>374049</v>
      </c>
    </row>
    <row r="29" spans="1:29" s="3" customFormat="1">
      <c r="A29" s="7">
        <v>22</v>
      </c>
      <c r="B29" s="10" t="s">
        <v>26</v>
      </c>
      <c r="C29" s="29">
        <v>3000</v>
      </c>
      <c r="D29" s="29">
        <f>1+9</f>
        <v>10</v>
      </c>
      <c r="E29" s="29">
        <v>12</v>
      </c>
      <c r="F29" s="21">
        <v>1.018</v>
      </c>
      <c r="G29" s="23">
        <f t="shared" si="0"/>
        <v>366480</v>
      </c>
      <c r="H29" s="29">
        <v>2500</v>
      </c>
      <c r="I29" s="29">
        <v>0</v>
      </c>
      <c r="J29" s="29">
        <v>12</v>
      </c>
      <c r="K29" s="21">
        <v>1.018</v>
      </c>
      <c r="L29" s="23">
        <f t="shared" si="1"/>
        <v>0</v>
      </c>
      <c r="M29" s="29">
        <v>2200</v>
      </c>
      <c r="N29" s="29">
        <v>0</v>
      </c>
      <c r="O29" s="29">
        <v>12</v>
      </c>
      <c r="P29" s="21">
        <v>1.018</v>
      </c>
      <c r="Q29" s="23">
        <f t="shared" si="2"/>
        <v>0</v>
      </c>
      <c r="R29" s="25">
        <f t="shared" si="3"/>
        <v>366480</v>
      </c>
      <c r="S29" s="9">
        <f t="shared" si="4"/>
        <v>348156</v>
      </c>
      <c r="T29" s="9">
        <f t="shared" si="5"/>
        <v>18324</v>
      </c>
      <c r="U29" s="25">
        <f t="shared" si="6"/>
        <v>366480</v>
      </c>
      <c r="V29" s="9">
        <f t="shared" si="6"/>
        <v>348156</v>
      </c>
      <c r="W29" s="9">
        <f t="shared" si="6"/>
        <v>18324</v>
      </c>
      <c r="X29" s="25">
        <f t="shared" si="7"/>
        <v>366480</v>
      </c>
      <c r="Y29" s="9">
        <f t="shared" si="7"/>
        <v>348156</v>
      </c>
      <c r="Z29" s="9">
        <f t="shared" si="7"/>
        <v>18324</v>
      </c>
      <c r="AA29" s="9">
        <f t="shared" si="8"/>
        <v>196868</v>
      </c>
      <c r="AB29" s="9">
        <f t="shared" si="9"/>
        <v>196868</v>
      </c>
      <c r="AC29" s="9">
        <f t="shared" si="10"/>
        <v>196868</v>
      </c>
    </row>
    <row r="30" spans="1:29" s="3" customFormat="1">
      <c r="A30" s="7">
        <v>23</v>
      </c>
      <c r="B30" s="10" t="s">
        <v>27</v>
      </c>
      <c r="C30" s="29">
        <v>3000</v>
      </c>
      <c r="D30" s="29">
        <f>0+0</f>
        <v>0</v>
      </c>
      <c r="E30" s="29">
        <v>12</v>
      </c>
      <c r="F30" s="21">
        <v>1.018</v>
      </c>
      <c r="G30" s="23">
        <f t="shared" si="0"/>
        <v>0</v>
      </c>
      <c r="H30" s="29">
        <v>2500</v>
      </c>
      <c r="I30" s="29">
        <v>0</v>
      </c>
      <c r="J30" s="29">
        <v>12</v>
      </c>
      <c r="K30" s="21">
        <v>1.018</v>
      </c>
      <c r="L30" s="23">
        <f t="shared" si="1"/>
        <v>0</v>
      </c>
      <c r="M30" s="29">
        <v>2200</v>
      </c>
      <c r="N30" s="29">
        <v>0</v>
      </c>
      <c r="O30" s="29">
        <v>12</v>
      </c>
      <c r="P30" s="21">
        <v>1.018</v>
      </c>
      <c r="Q30" s="23">
        <f t="shared" si="2"/>
        <v>0</v>
      </c>
      <c r="R30" s="25">
        <f t="shared" si="3"/>
        <v>0</v>
      </c>
      <c r="S30" s="9">
        <f t="shared" si="4"/>
        <v>0</v>
      </c>
      <c r="T30" s="9">
        <f t="shared" si="5"/>
        <v>0</v>
      </c>
      <c r="U30" s="25">
        <f t="shared" si="6"/>
        <v>0</v>
      </c>
      <c r="V30" s="9">
        <f t="shared" si="6"/>
        <v>0</v>
      </c>
      <c r="W30" s="9">
        <f t="shared" si="6"/>
        <v>0</v>
      </c>
      <c r="X30" s="25">
        <f t="shared" si="7"/>
        <v>0</v>
      </c>
      <c r="Y30" s="9">
        <f t="shared" si="7"/>
        <v>0</v>
      </c>
      <c r="Z30" s="9">
        <f t="shared" si="7"/>
        <v>0</v>
      </c>
      <c r="AA30" s="9">
        <f t="shared" si="8"/>
        <v>0</v>
      </c>
      <c r="AB30" s="9">
        <f t="shared" si="9"/>
        <v>0</v>
      </c>
      <c r="AC30" s="9">
        <f t="shared" si="10"/>
        <v>0</v>
      </c>
    </row>
    <row r="31" spans="1:29" s="3" customFormat="1">
      <c r="A31" s="7">
        <v>24</v>
      </c>
      <c r="B31" s="10" t="s">
        <v>28</v>
      </c>
      <c r="C31" s="29">
        <v>3000</v>
      </c>
      <c r="D31" s="29">
        <f>2+10</f>
        <v>12</v>
      </c>
      <c r="E31" s="29">
        <v>12</v>
      </c>
      <c r="F31" s="21">
        <v>1.018</v>
      </c>
      <c r="G31" s="23">
        <f t="shared" si="0"/>
        <v>439776</v>
      </c>
      <c r="H31" s="29">
        <v>2500</v>
      </c>
      <c r="I31" s="29">
        <v>0</v>
      </c>
      <c r="J31" s="29">
        <v>12</v>
      </c>
      <c r="K31" s="21">
        <v>1.018</v>
      </c>
      <c r="L31" s="23">
        <f t="shared" si="1"/>
        <v>0</v>
      </c>
      <c r="M31" s="29">
        <v>2200</v>
      </c>
      <c r="N31" s="29">
        <v>0</v>
      </c>
      <c r="O31" s="29">
        <v>12</v>
      </c>
      <c r="P31" s="21">
        <v>1.018</v>
      </c>
      <c r="Q31" s="23">
        <f t="shared" si="2"/>
        <v>0</v>
      </c>
      <c r="R31" s="25">
        <f t="shared" si="3"/>
        <v>439776</v>
      </c>
      <c r="S31" s="9">
        <f t="shared" si="4"/>
        <v>417787</v>
      </c>
      <c r="T31" s="9">
        <f t="shared" si="5"/>
        <v>21989</v>
      </c>
      <c r="U31" s="25">
        <f t="shared" si="6"/>
        <v>439776</v>
      </c>
      <c r="V31" s="9">
        <f t="shared" si="6"/>
        <v>417787</v>
      </c>
      <c r="W31" s="9">
        <f t="shared" si="6"/>
        <v>21989</v>
      </c>
      <c r="X31" s="25">
        <f t="shared" si="7"/>
        <v>439776</v>
      </c>
      <c r="Y31" s="9">
        <f t="shared" si="7"/>
        <v>417787</v>
      </c>
      <c r="Z31" s="9">
        <f t="shared" si="7"/>
        <v>21989</v>
      </c>
      <c r="AA31" s="9">
        <f t="shared" si="8"/>
        <v>236241</v>
      </c>
      <c r="AB31" s="9">
        <f t="shared" si="9"/>
        <v>236241</v>
      </c>
      <c r="AC31" s="9">
        <f t="shared" si="10"/>
        <v>236241</v>
      </c>
    </row>
    <row r="32" spans="1:29" s="3" customFormat="1">
      <c r="A32" s="7">
        <v>25</v>
      </c>
      <c r="B32" s="10" t="s">
        <v>29</v>
      </c>
      <c r="C32" s="29">
        <v>3000</v>
      </c>
      <c r="D32" s="29">
        <f>1+6</f>
        <v>7</v>
      </c>
      <c r="E32" s="29">
        <v>12</v>
      </c>
      <c r="F32" s="21">
        <v>1.018</v>
      </c>
      <c r="G32" s="23">
        <f t="shared" si="0"/>
        <v>256536</v>
      </c>
      <c r="H32" s="29">
        <v>2500</v>
      </c>
      <c r="I32" s="29">
        <v>0</v>
      </c>
      <c r="J32" s="29">
        <v>12</v>
      </c>
      <c r="K32" s="21">
        <v>1.018</v>
      </c>
      <c r="L32" s="23">
        <f t="shared" si="1"/>
        <v>0</v>
      </c>
      <c r="M32" s="29">
        <v>2200</v>
      </c>
      <c r="N32" s="29">
        <v>0</v>
      </c>
      <c r="O32" s="29">
        <v>12</v>
      </c>
      <c r="P32" s="21">
        <v>1.018</v>
      </c>
      <c r="Q32" s="23">
        <f t="shared" si="2"/>
        <v>0</v>
      </c>
      <c r="R32" s="25">
        <f t="shared" si="3"/>
        <v>256536</v>
      </c>
      <c r="S32" s="9">
        <f t="shared" si="4"/>
        <v>243709</v>
      </c>
      <c r="T32" s="9">
        <f t="shared" si="5"/>
        <v>12827</v>
      </c>
      <c r="U32" s="25">
        <f t="shared" si="6"/>
        <v>256536</v>
      </c>
      <c r="V32" s="9">
        <f t="shared" si="6"/>
        <v>243709</v>
      </c>
      <c r="W32" s="9">
        <f t="shared" si="6"/>
        <v>12827</v>
      </c>
      <c r="X32" s="25">
        <f t="shared" si="7"/>
        <v>256536</v>
      </c>
      <c r="Y32" s="9">
        <f t="shared" si="7"/>
        <v>243709</v>
      </c>
      <c r="Z32" s="9">
        <f t="shared" si="7"/>
        <v>12827</v>
      </c>
      <c r="AA32" s="9">
        <f t="shared" si="8"/>
        <v>137807</v>
      </c>
      <c r="AB32" s="9">
        <f t="shared" si="9"/>
        <v>137807</v>
      </c>
      <c r="AC32" s="9">
        <f t="shared" si="10"/>
        <v>137807</v>
      </c>
    </row>
    <row r="33" spans="1:29" s="3" customFormat="1">
      <c r="A33" s="7">
        <v>26</v>
      </c>
      <c r="B33" s="10" t="s">
        <v>30</v>
      </c>
      <c r="C33" s="29">
        <v>3000</v>
      </c>
      <c r="D33" s="29">
        <f>2+12</f>
        <v>14</v>
      </c>
      <c r="E33" s="29">
        <v>12</v>
      </c>
      <c r="F33" s="21">
        <v>1.018</v>
      </c>
      <c r="G33" s="23">
        <f t="shared" si="0"/>
        <v>513072</v>
      </c>
      <c r="H33" s="29">
        <v>2500</v>
      </c>
      <c r="I33" s="29">
        <v>0</v>
      </c>
      <c r="J33" s="29">
        <v>12</v>
      </c>
      <c r="K33" s="21">
        <v>1.018</v>
      </c>
      <c r="L33" s="23">
        <f t="shared" si="1"/>
        <v>0</v>
      </c>
      <c r="M33" s="29">
        <v>2200</v>
      </c>
      <c r="N33" s="29">
        <v>0</v>
      </c>
      <c r="O33" s="29">
        <v>12</v>
      </c>
      <c r="P33" s="21">
        <v>1.018</v>
      </c>
      <c r="Q33" s="23">
        <f t="shared" si="2"/>
        <v>0</v>
      </c>
      <c r="R33" s="25">
        <f t="shared" si="3"/>
        <v>513072</v>
      </c>
      <c r="S33" s="9">
        <f t="shared" si="4"/>
        <v>487418</v>
      </c>
      <c r="T33" s="9">
        <f t="shared" si="5"/>
        <v>25654</v>
      </c>
      <c r="U33" s="25">
        <f t="shared" si="6"/>
        <v>513072</v>
      </c>
      <c r="V33" s="9">
        <f t="shared" si="6"/>
        <v>487418</v>
      </c>
      <c r="W33" s="9">
        <f t="shared" si="6"/>
        <v>25654</v>
      </c>
      <c r="X33" s="25">
        <f t="shared" si="7"/>
        <v>513072</v>
      </c>
      <c r="Y33" s="9">
        <f t="shared" si="7"/>
        <v>487418</v>
      </c>
      <c r="Z33" s="9">
        <f t="shared" si="7"/>
        <v>25654</v>
      </c>
      <c r="AA33" s="9">
        <f t="shared" si="8"/>
        <v>275615</v>
      </c>
      <c r="AB33" s="9">
        <f t="shared" si="9"/>
        <v>275615</v>
      </c>
      <c r="AC33" s="9">
        <f t="shared" si="10"/>
        <v>275615</v>
      </c>
    </row>
    <row r="34" spans="1:29" s="3" customFormat="1">
      <c r="A34" s="7">
        <v>27</v>
      </c>
      <c r="B34" s="10" t="s">
        <v>31</v>
      </c>
      <c r="C34" s="29">
        <v>3000</v>
      </c>
      <c r="D34" s="29">
        <f>2+8</f>
        <v>10</v>
      </c>
      <c r="E34" s="29">
        <v>12</v>
      </c>
      <c r="F34" s="21">
        <v>1.018</v>
      </c>
      <c r="G34" s="23">
        <f t="shared" si="0"/>
        <v>366480</v>
      </c>
      <c r="H34" s="29">
        <v>2500</v>
      </c>
      <c r="I34" s="29">
        <v>0</v>
      </c>
      <c r="J34" s="29">
        <v>12</v>
      </c>
      <c r="K34" s="21">
        <v>1.018</v>
      </c>
      <c r="L34" s="23">
        <f t="shared" si="1"/>
        <v>0</v>
      </c>
      <c r="M34" s="29">
        <v>2200</v>
      </c>
      <c r="N34" s="29">
        <v>0</v>
      </c>
      <c r="O34" s="29">
        <v>12</v>
      </c>
      <c r="P34" s="21">
        <v>1.018</v>
      </c>
      <c r="Q34" s="23">
        <f t="shared" si="2"/>
        <v>0</v>
      </c>
      <c r="R34" s="25">
        <f t="shared" si="3"/>
        <v>366480</v>
      </c>
      <c r="S34" s="9">
        <f t="shared" si="4"/>
        <v>348156</v>
      </c>
      <c r="T34" s="9">
        <f t="shared" si="5"/>
        <v>18324</v>
      </c>
      <c r="U34" s="25">
        <f t="shared" si="6"/>
        <v>366480</v>
      </c>
      <c r="V34" s="9">
        <f t="shared" si="6"/>
        <v>348156</v>
      </c>
      <c r="W34" s="9">
        <f t="shared" si="6"/>
        <v>18324</v>
      </c>
      <c r="X34" s="25">
        <f t="shared" si="7"/>
        <v>366480</v>
      </c>
      <c r="Y34" s="9">
        <f t="shared" si="7"/>
        <v>348156</v>
      </c>
      <c r="Z34" s="9">
        <f t="shared" si="7"/>
        <v>18324</v>
      </c>
      <c r="AA34" s="9">
        <f>ROUND(S34*$AA$40,0)-1</f>
        <v>196867</v>
      </c>
      <c r="AB34" s="9">
        <f>ROUND(V34*$AA$41,0)-1</f>
        <v>196867</v>
      </c>
      <c r="AC34" s="9">
        <f t="shared" si="10"/>
        <v>196867</v>
      </c>
    </row>
    <row r="35" spans="1:29" s="3" customFormat="1">
      <c r="A35" s="7">
        <v>28</v>
      </c>
      <c r="B35" s="10" t="s">
        <v>32</v>
      </c>
      <c r="C35" s="29">
        <v>3000</v>
      </c>
      <c r="D35" s="29">
        <f>0+0</f>
        <v>0</v>
      </c>
      <c r="E35" s="29">
        <v>12</v>
      </c>
      <c r="F35" s="21">
        <v>1.018</v>
      </c>
      <c r="G35" s="23">
        <f t="shared" si="0"/>
        <v>0</v>
      </c>
      <c r="H35" s="29">
        <v>2500</v>
      </c>
      <c r="I35" s="29">
        <v>0</v>
      </c>
      <c r="J35" s="29">
        <v>12</v>
      </c>
      <c r="K35" s="21">
        <v>1.018</v>
      </c>
      <c r="L35" s="23">
        <f t="shared" si="1"/>
        <v>0</v>
      </c>
      <c r="M35" s="29">
        <v>2200</v>
      </c>
      <c r="N35" s="29">
        <v>0</v>
      </c>
      <c r="O35" s="29">
        <v>12</v>
      </c>
      <c r="P35" s="21">
        <v>1.018</v>
      </c>
      <c r="Q35" s="23">
        <f t="shared" si="2"/>
        <v>0</v>
      </c>
      <c r="R35" s="25">
        <f t="shared" si="3"/>
        <v>0</v>
      </c>
      <c r="S35" s="9">
        <f t="shared" si="4"/>
        <v>0</v>
      </c>
      <c r="T35" s="9">
        <f t="shared" si="5"/>
        <v>0</v>
      </c>
      <c r="U35" s="25">
        <f t="shared" si="6"/>
        <v>0</v>
      </c>
      <c r="V35" s="9">
        <f t="shared" si="6"/>
        <v>0</v>
      </c>
      <c r="W35" s="9">
        <f t="shared" si="6"/>
        <v>0</v>
      </c>
      <c r="X35" s="25">
        <f t="shared" si="7"/>
        <v>0</v>
      </c>
      <c r="Y35" s="9">
        <f t="shared" si="7"/>
        <v>0</v>
      </c>
      <c r="Z35" s="9">
        <f t="shared" si="7"/>
        <v>0</v>
      </c>
      <c r="AA35" s="9">
        <f t="shared" si="8"/>
        <v>0</v>
      </c>
      <c r="AB35" s="9">
        <f t="shared" si="9"/>
        <v>0</v>
      </c>
      <c r="AC35" s="9">
        <f t="shared" si="10"/>
        <v>0</v>
      </c>
    </row>
    <row r="36" spans="1:29">
      <c r="A36" s="11"/>
      <c r="B36" s="12" t="s">
        <v>3</v>
      </c>
      <c r="C36" s="15">
        <v>3000</v>
      </c>
      <c r="D36" s="15">
        <f>D8+D9+D10+D11+D12+D13+D14+D15+D16+D17+D18+D19+D20+D21+D22+D23+D24+D25+D26+D27+D28+D29+D30+D31+D32+D33+D34+D35</f>
        <v>335</v>
      </c>
      <c r="E36" s="15">
        <v>12</v>
      </c>
      <c r="F36" s="22">
        <v>1.018</v>
      </c>
      <c r="G36" s="14">
        <f>G8+G9+G10+G11+G12+G13+G14+G15+G16+G17+G18+G19+G20+G21+G22+G23+G24+G25+G26+G27+G28+G29+G30+G31+G32+G33+G34+G35</f>
        <v>12277080</v>
      </c>
      <c r="H36" s="15">
        <v>2500</v>
      </c>
      <c r="I36" s="15">
        <f>I8+I9+I10+I11+I12+I13+I14+I15+I16+I17+I18+I19+I20+I21+I22+I23+I24+I25+I26+I27+I28+I29+I30+I31+I32+I33+I34+I35</f>
        <v>1</v>
      </c>
      <c r="J36" s="15">
        <v>12</v>
      </c>
      <c r="K36" s="22">
        <v>1.018</v>
      </c>
      <c r="L36" s="14">
        <f>L8+L9+L10+L11+L12+L13+L14+L15+L16+L17+L18+L19+L20+L21+L22+L23+L24+L25+L26+L27+L28+L29+L30+L31+L32+L33+L34+L35</f>
        <v>30540</v>
      </c>
      <c r="M36" s="15">
        <v>2200</v>
      </c>
      <c r="N36" s="15">
        <f>N8+N9+N10+N11+N12+N13+N14+N15+N16+N17+N18+N19+N20+N21+N22+N23+N24+N25+N26+N27+N28+N29+N30+N31+N32+N33+N34+N35</f>
        <v>0</v>
      </c>
      <c r="O36" s="15">
        <v>12</v>
      </c>
      <c r="P36" s="22">
        <v>1.018</v>
      </c>
      <c r="Q36" s="14">
        <f>Q8+Q9+Q10+Q11+Q12+Q13+Q14+Q15+Q16+Q17+Q18+Q19+Q20+Q21+Q22+Q23+Q24+Q25+Q26+Q27+Q28+Q29+Q30+Q31+Q32+Q33+Q34+Q35</f>
        <v>0</v>
      </c>
      <c r="R36" s="13">
        <f>R8+R9+R10+R11+R12+R13+R14+R15+R16+R17+R18+R19+R20+R21+R22+R23+R24+R25+R26+R27+R28+R29+R30+R31+R32+R33+R34+R35</f>
        <v>12307620</v>
      </c>
      <c r="S36" s="13">
        <f>S8+S9+S10+S11+S12+S13+S14+S15+S16+S17+S18+S19+S20+S21+S22+S23+S24+S25+S26+S27+S28+S29+S30+S31+S32+S33+S34+S35</f>
        <v>11692239</v>
      </c>
      <c r="T36" s="13">
        <f>T8+T9+T10+T11+T12+T13+T14+T15+T16+T17+T18+T19+T20+T21+T22+T23+T24+T25+T26+T27+T28+T29+T30+T31+T32+T33+T34+T35</f>
        <v>615381</v>
      </c>
      <c r="U36" s="13">
        <f t="shared" ref="U36:X36" si="11">U8+U9+U10+U11+U12+U13+U14+U15+U16+U17+U18+U19+U20+U21+U22+U23+U24+U25+U26+U27+U28+U29+U30+U31+U32+U33+U34+U35</f>
        <v>12307620</v>
      </c>
      <c r="V36" s="13">
        <f t="shared" si="11"/>
        <v>11692239</v>
      </c>
      <c r="W36" s="13">
        <f t="shared" si="11"/>
        <v>615381</v>
      </c>
      <c r="X36" s="13">
        <f t="shared" si="11"/>
        <v>12307620</v>
      </c>
      <c r="Y36" s="16">
        <f>Y8+Y9+Y10+Y11+Y12+Y13+Y14+Y15+Y16+Y17+Y18+Y19+Y20+Y21+Y22+Y23+Y24+Y25+Y26+Y27+Y28+Y29+Y30+Y31+Y32+Y33+Y34+Y35</f>
        <v>11692239</v>
      </c>
      <c r="Z36" s="16">
        <f>Z8+Z9+Z10+Z11+Z12+Z13+Z14+Z15+Z16+Z17+Z18+Z19+Z20+Z21+Z22+Z23+Z24+Z25+Z26+Z27+Z28+Z29+Z30+Z31+Z32+Z33+Z34+Z35</f>
        <v>615381</v>
      </c>
      <c r="AA36" s="16">
        <f>AA8+AA9+AA10+AA11+AA12+AA13+AA14+AA15+AA16+AA17+AA18+AA19+AA20+AA21+AA22+AA23+AA24+AA25+AA26+AA27+AA28+AA29+AA30+AA31+AA32+AA33+AA34+AA35</f>
        <v>6611482</v>
      </c>
      <c r="AB36" s="16">
        <f>AB8+AB9+AB10+AB11+AB12+AB13+AB14+AB15+AB16+AB17+AB18+AB19+AB20+AB21+AB22+AB23+AB24+AB25+AB26+AB27+AB28+AB29+AB30+AB31+AB32+AB33+AB34+AB35</f>
        <v>6611482</v>
      </c>
      <c r="AC36" s="16">
        <f>AC8+AC9+AC10+AC11+AC12+AC13+AC14+AC15+AC16+AC17+AC18+AC19+AC20+AC21+AC22+AC23+AC24+AC25+AC26+AC27+AC28+AC29+AC30+AC31+AC32+AC33+AC34+AC35</f>
        <v>6611482</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T38*AA40</f>
        <v>347972.75</v>
      </c>
      <c r="AB37" s="26">
        <f>W38*AA41</f>
        <v>347972.75</v>
      </c>
      <c r="AC37" s="26">
        <f>AB37</f>
        <v>347972.75</v>
      </c>
    </row>
    <row r="38" spans="1:29">
      <c r="A38" s="17"/>
      <c r="B38" s="18" t="s">
        <v>4</v>
      </c>
      <c r="C38" s="18"/>
      <c r="D38" s="18"/>
      <c r="E38" s="18"/>
      <c r="F38" s="18"/>
      <c r="G38" s="18"/>
      <c r="H38" s="18"/>
      <c r="I38" s="18"/>
      <c r="J38" s="18"/>
      <c r="K38" s="18"/>
      <c r="L38" s="18"/>
      <c r="M38" s="18"/>
      <c r="N38" s="18"/>
      <c r="O38" s="18"/>
      <c r="P38" s="18"/>
      <c r="Q38" s="18"/>
      <c r="R38" s="27">
        <f t="shared" ref="R38:Z38" si="12">R36</f>
        <v>12307620</v>
      </c>
      <c r="S38" s="27">
        <f t="shared" si="12"/>
        <v>11692239</v>
      </c>
      <c r="T38" s="27">
        <f t="shared" si="12"/>
        <v>615381</v>
      </c>
      <c r="U38" s="27">
        <f t="shared" si="12"/>
        <v>12307620</v>
      </c>
      <c r="V38" s="27">
        <f t="shared" si="12"/>
        <v>11692239</v>
      </c>
      <c r="W38" s="27">
        <f t="shared" si="12"/>
        <v>615381</v>
      </c>
      <c r="X38" s="27">
        <f t="shared" si="12"/>
        <v>12307620</v>
      </c>
      <c r="Y38" s="27">
        <f t="shared" si="12"/>
        <v>11692239</v>
      </c>
      <c r="Z38" s="27">
        <f t="shared" si="12"/>
        <v>615381</v>
      </c>
      <c r="AA38" s="26">
        <f t="shared" ref="AA38:AC38" si="13">AA36+AA37</f>
        <v>6959454.75</v>
      </c>
      <c r="AB38" s="26">
        <f t="shared" si="13"/>
        <v>6959454.75</v>
      </c>
      <c r="AC38" s="26">
        <f t="shared" si="13"/>
        <v>6959454.75</v>
      </c>
    </row>
    <row r="39" spans="1:29">
      <c r="AB39" s="20"/>
    </row>
    <row r="40" spans="1:29">
      <c r="W40" s="1" t="s">
        <v>51</v>
      </c>
      <c r="X40" s="32">
        <v>6959455</v>
      </c>
      <c r="Y40" s="48" t="s">
        <v>52</v>
      </c>
      <c r="Z40" s="48"/>
      <c r="AA40" s="1">
        <f>X40/R38</f>
        <v>0.56545904082186482</v>
      </c>
      <c r="AB40" s="34"/>
    </row>
    <row r="41" spans="1:29" ht="12.75" customHeight="1">
      <c r="W41" s="1" t="s">
        <v>57</v>
      </c>
      <c r="X41" s="32">
        <v>6959455</v>
      </c>
      <c r="Y41" s="48" t="s">
        <v>58</v>
      </c>
      <c r="Z41" s="48"/>
      <c r="AA41" s="1">
        <f>X41/U38</f>
        <v>0.56545904082186482</v>
      </c>
      <c r="AB41" s="34"/>
    </row>
    <row r="42" spans="1:29">
      <c r="W42" s="1" t="s">
        <v>60</v>
      </c>
      <c r="X42" s="32">
        <v>6959455</v>
      </c>
      <c r="Y42" s="48" t="s">
        <v>59</v>
      </c>
      <c r="Z42" s="48"/>
      <c r="AA42" s="1">
        <f>X42/X38</f>
        <v>0.56545904082186482</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19685039370078741" right="0.19685039370078741" top="0.19685039370078741" bottom="0.19685039370078741" header="0" footer="0"/>
  <pageSetup paperSize="9" scale="60" orientation="landscape" r:id="rId1"/>
  <colBreaks count="3" manualBreakCount="3">
    <brk id="7" max="1048575" man="1"/>
    <brk id="12" max="1048575" man="1"/>
    <brk id="21" max="1048575" man="1"/>
  </colBreaks>
</worksheet>
</file>

<file path=xl/worksheets/sheet4.xml><?xml version="1.0" encoding="utf-8"?>
<worksheet xmlns="http://schemas.openxmlformats.org/spreadsheetml/2006/main" xmlns:r="http://schemas.openxmlformats.org/officeDocument/2006/relationships">
  <dimension ref="A1:AJ42"/>
  <sheetViews>
    <sheetView tabSelected="1"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I1" sqref="I1"/>
    </sheetView>
  </sheetViews>
  <sheetFormatPr defaultRowHeight="12.75"/>
  <cols>
    <col min="1" max="1" width="3.7109375" style="1" customWidth="1"/>
    <col min="2" max="2" width="23.85546875" style="1" customWidth="1"/>
    <col min="3" max="3" width="21.85546875" style="1" customWidth="1"/>
    <col min="4" max="4" width="42.7109375" style="1" customWidth="1"/>
    <col min="5" max="5" width="14.28515625" style="1" customWidth="1"/>
    <col min="6" max="6" width="19.5703125" style="1" customWidth="1"/>
    <col min="7" max="7" width="26.28515625" style="1" customWidth="1"/>
    <col min="8" max="8" width="21.28515625" style="1" customWidth="1"/>
    <col min="9" max="9" width="46.7109375" style="1" customWidth="1"/>
    <col min="10" max="10" width="13.140625" style="1" customWidth="1"/>
    <col min="11" max="11" width="19.28515625" style="1" customWidth="1"/>
    <col min="12" max="12" width="23" style="1" customWidth="1"/>
    <col min="13" max="13" width="22.42578125" style="1" customWidth="1"/>
    <col min="14" max="14" width="25.7109375" style="1" customWidth="1"/>
    <col min="15" max="15" width="14.140625" style="1" customWidth="1"/>
    <col min="16" max="16" width="19.42578125" style="1" customWidth="1"/>
    <col min="17" max="17" width="25.5703125" style="1" customWidth="1"/>
    <col min="18" max="18" width="19.28515625" style="1" customWidth="1"/>
    <col min="19" max="19" width="16.28515625" style="1" customWidth="1"/>
    <col min="20" max="20" width="16.5703125" style="1" customWidth="1"/>
    <col min="21" max="21" width="19.140625" style="1" customWidth="1"/>
    <col min="22" max="22" width="14.28515625" style="1" customWidth="1"/>
    <col min="23" max="23" width="14.5703125" style="1" customWidth="1"/>
    <col min="24" max="24" width="18.5703125" style="1" customWidth="1"/>
    <col min="25" max="25" width="14.7109375" style="1" customWidth="1"/>
    <col min="26" max="26" width="15.42578125" style="1" customWidth="1"/>
    <col min="27" max="27" width="18.28515625" style="1" customWidth="1"/>
    <col min="28" max="28" width="17.42578125" style="1" customWidth="1"/>
    <col min="29" max="29" width="17.140625" style="1" customWidth="1"/>
    <col min="30" max="30" width="11" style="3" customWidth="1"/>
    <col min="31" max="31" width="10.7109375" style="3" customWidth="1"/>
    <col min="32" max="36" width="9.140625" style="3"/>
    <col min="37" max="16384" width="9.140625" style="1"/>
  </cols>
  <sheetData>
    <row r="1" spans="1:35">
      <c r="I1" s="36" t="s">
        <v>77</v>
      </c>
    </row>
    <row r="2" spans="1:35" ht="45" customHeight="1">
      <c r="C2" s="47" t="s">
        <v>56</v>
      </c>
      <c r="D2" s="47"/>
      <c r="E2" s="47"/>
      <c r="F2" s="47"/>
      <c r="G2" s="47"/>
      <c r="H2" s="47"/>
      <c r="I2" s="35"/>
      <c r="J2" s="35"/>
      <c r="K2" s="35"/>
      <c r="L2" s="2"/>
      <c r="M2" s="2"/>
      <c r="N2" s="2"/>
      <c r="O2" s="2"/>
      <c r="P2" s="2"/>
      <c r="Q2" s="2"/>
      <c r="S2" s="2"/>
      <c r="T2" s="2"/>
      <c r="U2" s="2"/>
      <c r="V2" s="2"/>
      <c r="W2" s="2"/>
      <c r="X2" s="2"/>
      <c r="Y2" s="2"/>
      <c r="Z2" s="2"/>
    </row>
    <row r="4" spans="1:35" s="3" customFormat="1" ht="50.25" customHeight="1">
      <c r="A4" s="37" t="s">
        <v>0</v>
      </c>
      <c r="B4" s="37" t="s">
        <v>1</v>
      </c>
      <c r="C4" s="39" t="s">
        <v>71</v>
      </c>
      <c r="D4" s="40"/>
      <c r="E4" s="40"/>
      <c r="F4" s="40"/>
      <c r="G4" s="40"/>
      <c r="H4" s="39" t="s">
        <v>72</v>
      </c>
      <c r="I4" s="40"/>
      <c r="J4" s="40"/>
      <c r="K4" s="40"/>
      <c r="L4" s="40"/>
      <c r="M4" s="42" t="s">
        <v>73</v>
      </c>
      <c r="N4" s="42"/>
      <c r="O4" s="42"/>
      <c r="P4" s="42"/>
      <c r="Q4" s="42"/>
      <c r="R4" s="44" t="s">
        <v>74</v>
      </c>
      <c r="S4" s="42" t="s">
        <v>44</v>
      </c>
      <c r="T4" s="42"/>
      <c r="U4" s="44" t="s">
        <v>75</v>
      </c>
      <c r="V4" s="42" t="s">
        <v>44</v>
      </c>
      <c r="W4" s="42"/>
      <c r="X4" s="44" t="s">
        <v>76</v>
      </c>
      <c r="Y4" s="42" t="s">
        <v>44</v>
      </c>
      <c r="Z4" s="42"/>
      <c r="AA4" s="42" t="s">
        <v>61</v>
      </c>
      <c r="AB4" s="42" t="s">
        <v>63</v>
      </c>
      <c r="AC4" s="42" t="s">
        <v>62</v>
      </c>
    </row>
    <row r="5" spans="1:35" ht="68.25" customHeight="1">
      <c r="A5" s="37"/>
      <c r="B5" s="37"/>
      <c r="C5" s="38" t="s">
        <v>34</v>
      </c>
      <c r="D5" s="38" t="s">
        <v>65</v>
      </c>
      <c r="E5" s="41" t="s">
        <v>33</v>
      </c>
      <c r="F5" s="41" t="s">
        <v>66</v>
      </c>
      <c r="G5" s="42" t="s">
        <v>64</v>
      </c>
      <c r="H5" s="38" t="s">
        <v>39</v>
      </c>
      <c r="I5" s="38" t="s">
        <v>68</v>
      </c>
      <c r="J5" s="41" t="s">
        <v>36</v>
      </c>
      <c r="K5" s="41" t="s">
        <v>66</v>
      </c>
      <c r="L5" s="42" t="s">
        <v>67</v>
      </c>
      <c r="M5" s="38" t="s">
        <v>40</v>
      </c>
      <c r="N5" s="38" t="s">
        <v>70</v>
      </c>
      <c r="O5" s="41" t="s">
        <v>33</v>
      </c>
      <c r="P5" s="41" t="s">
        <v>66</v>
      </c>
      <c r="Q5" s="42" t="s">
        <v>69</v>
      </c>
      <c r="R5" s="45"/>
      <c r="S5" s="39" t="s">
        <v>42</v>
      </c>
      <c r="T5" s="43" t="s">
        <v>43</v>
      </c>
      <c r="U5" s="45"/>
      <c r="V5" s="39" t="s">
        <v>42</v>
      </c>
      <c r="W5" s="43" t="s">
        <v>43</v>
      </c>
      <c r="X5" s="45"/>
      <c r="Y5" s="39" t="s">
        <v>42</v>
      </c>
      <c r="Z5" s="43" t="s">
        <v>43</v>
      </c>
      <c r="AA5" s="42"/>
      <c r="AB5" s="42"/>
      <c r="AC5" s="42"/>
    </row>
    <row r="6" spans="1:35" ht="204.75" customHeight="1">
      <c r="A6" s="37"/>
      <c r="B6" s="37"/>
      <c r="C6" s="38"/>
      <c r="D6" s="38"/>
      <c r="E6" s="41"/>
      <c r="F6" s="41"/>
      <c r="G6" s="42"/>
      <c r="H6" s="38"/>
      <c r="I6" s="38"/>
      <c r="J6" s="41"/>
      <c r="K6" s="41"/>
      <c r="L6" s="42"/>
      <c r="M6" s="38"/>
      <c r="N6" s="38"/>
      <c r="O6" s="41"/>
      <c r="P6" s="41"/>
      <c r="Q6" s="42"/>
      <c r="R6" s="46"/>
      <c r="S6" s="39"/>
      <c r="T6" s="43"/>
      <c r="U6" s="46"/>
      <c r="V6" s="39"/>
      <c r="W6" s="43"/>
      <c r="X6" s="46"/>
      <c r="Y6" s="39"/>
      <c r="Z6" s="43"/>
      <c r="AA6" s="42"/>
      <c r="AB6" s="42"/>
      <c r="AC6" s="42"/>
    </row>
    <row r="7" spans="1:35" ht="18" customHeight="1">
      <c r="A7" s="28">
        <v>1</v>
      </c>
      <c r="B7" s="28">
        <f>A7+1</f>
        <v>2</v>
      </c>
      <c r="C7" s="28">
        <v>3</v>
      </c>
      <c r="D7" s="28">
        <v>4</v>
      </c>
      <c r="E7" s="28">
        <v>5</v>
      </c>
      <c r="F7" s="28">
        <v>6</v>
      </c>
      <c r="G7" s="28" t="s">
        <v>35</v>
      </c>
      <c r="H7" s="28">
        <v>8</v>
      </c>
      <c r="I7" s="28">
        <v>9</v>
      </c>
      <c r="J7" s="28">
        <v>10</v>
      </c>
      <c r="K7" s="24">
        <v>11</v>
      </c>
      <c r="L7" s="28" t="s">
        <v>37</v>
      </c>
      <c r="M7" s="28">
        <v>13</v>
      </c>
      <c r="N7" s="28">
        <v>14</v>
      </c>
      <c r="O7" s="28">
        <v>15</v>
      </c>
      <c r="P7" s="28">
        <v>16</v>
      </c>
      <c r="Q7" s="28" t="s">
        <v>38</v>
      </c>
      <c r="R7" s="28" t="s">
        <v>41</v>
      </c>
      <c r="S7" s="28" t="s">
        <v>45</v>
      </c>
      <c r="T7" s="28" t="s">
        <v>46</v>
      </c>
      <c r="U7" s="28">
        <v>21</v>
      </c>
      <c r="V7" s="28" t="s">
        <v>47</v>
      </c>
      <c r="W7" s="28" t="s">
        <v>48</v>
      </c>
      <c r="X7" s="28">
        <v>24</v>
      </c>
      <c r="Y7" s="5" t="s">
        <v>49</v>
      </c>
      <c r="Z7" s="5" t="s">
        <v>50</v>
      </c>
      <c r="AA7" s="28">
        <v>27</v>
      </c>
      <c r="AB7" s="28">
        <v>28</v>
      </c>
      <c r="AC7" s="6">
        <v>29</v>
      </c>
    </row>
    <row r="8" spans="1:35">
      <c r="A8" s="7">
        <v>1</v>
      </c>
      <c r="B8" s="8" t="s">
        <v>5</v>
      </c>
      <c r="C8" s="29">
        <v>3000</v>
      </c>
      <c r="D8" s="29">
        <f>'0701'!D8+'0702'!D8+'0703'!D8</f>
        <v>519</v>
      </c>
      <c r="E8" s="29">
        <v>12</v>
      </c>
      <c r="F8" s="21">
        <v>1.018</v>
      </c>
      <c r="G8" s="23">
        <f>'0701'!G8+'0702'!G8+'0703'!G8</f>
        <v>19020312</v>
      </c>
      <c r="H8" s="29">
        <v>2500</v>
      </c>
      <c r="I8" s="29">
        <f>'0701'!I8+'0702'!I8+'0703'!I8</f>
        <v>5</v>
      </c>
      <c r="J8" s="29">
        <v>12</v>
      </c>
      <c r="K8" s="21">
        <v>1.018</v>
      </c>
      <c r="L8" s="23">
        <f>'0701'!L8+'0702'!L8+'0703'!L8</f>
        <v>152700</v>
      </c>
      <c r="M8" s="29">
        <v>2200</v>
      </c>
      <c r="N8" s="29">
        <f>'0701'!N8+'0702'!N8+'0703'!N8</f>
        <v>3</v>
      </c>
      <c r="O8" s="29">
        <v>12</v>
      </c>
      <c r="P8" s="21">
        <v>1.018</v>
      </c>
      <c r="Q8" s="23">
        <f>'0701'!Q8+'0702'!Q8+'0703'!Q8</f>
        <v>80625.600000000006</v>
      </c>
      <c r="R8" s="25">
        <f>'0701'!R8+'0702'!R8+'0703'!R8</f>
        <v>19253638</v>
      </c>
      <c r="S8" s="9">
        <f>'0701'!S8+'0702'!S8+'0703'!S8</f>
        <v>18290957</v>
      </c>
      <c r="T8" s="9">
        <f>'0701'!T8+'0702'!T8+'0703'!T8</f>
        <v>962681</v>
      </c>
      <c r="U8" s="25">
        <f>'0701'!U8+'0702'!U8+'0703'!U8</f>
        <v>19253638</v>
      </c>
      <c r="V8" s="9">
        <f>'0701'!V8+'0702'!V8+'0703'!V8</f>
        <v>18290957</v>
      </c>
      <c r="W8" s="9">
        <f>'0701'!W8+'0702'!W8+'0703'!Z8</f>
        <v>962681</v>
      </c>
      <c r="X8" s="25">
        <f>'0701'!X8+'0702'!X8+'0703'!X8</f>
        <v>19253638</v>
      </c>
      <c r="Y8" s="9">
        <f>'0701'!Y8+'0702'!Y8+'0703'!AA8</f>
        <v>18154798</v>
      </c>
      <c r="Z8" s="9">
        <f>'0701'!Z8+'0702'!Z8+'0703'!Z8</f>
        <v>962681</v>
      </c>
      <c r="AA8" s="9">
        <f>'0701'!AA8+'0702'!AA8+'0703'!AA8</f>
        <v>10980183</v>
      </c>
      <c r="AB8" s="9">
        <f>'0701'!AB8+'0702'!AB8+'0703'!AB8</f>
        <v>10980183</v>
      </c>
      <c r="AC8" s="9">
        <f>'0701'!AC8+'0702'!AC8+'0703'!AC8</f>
        <v>10980183</v>
      </c>
      <c r="AD8" s="30"/>
      <c r="AE8" s="30"/>
      <c r="AF8" s="30"/>
      <c r="AG8" s="30"/>
      <c r="AH8" s="30"/>
      <c r="AI8" s="30"/>
    </row>
    <row r="9" spans="1:35">
      <c r="A9" s="7">
        <v>2</v>
      </c>
      <c r="B9" s="8" t="s">
        <v>6</v>
      </c>
      <c r="C9" s="29">
        <v>3000</v>
      </c>
      <c r="D9" s="29">
        <f>'0701'!D9+'0702'!D9+'0703'!D9</f>
        <v>386</v>
      </c>
      <c r="E9" s="29">
        <v>12</v>
      </c>
      <c r="F9" s="21">
        <v>1.018</v>
      </c>
      <c r="G9" s="23">
        <f>'0701'!G9+'0702'!G9+'0703'!G9</f>
        <v>14146128</v>
      </c>
      <c r="H9" s="29">
        <v>2500</v>
      </c>
      <c r="I9" s="29">
        <f>'0701'!I9+'0702'!I9+'0703'!I9</f>
        <v>4</v>
      </c>
      <c r="J9" s="29">
        <v>12</v>
      </c>
      <c r="K9" s="21">
        <v>1.018</v>
      </c>
      <c r="L9" s="23">
        <f>'0701'!L9+'0702'!L9+'0703'!L9</f>
        <v>122160</v>
      </c>
      <c r="M9" s="29">
        <v>2200</v>
      </c>
      <c r="N9" s="29">
        <f>'0701'!N9+'0702'!N9+'0703'!N9</f>
        <v>3</v>
      </c>
      <c r="O9" s="29">
        <v>12</v>
      </c>
      <c r="P9" s="21">
        <v>1.018</v>
      </c>
      <c r="Q9" s="23">
        <f>'0701'!Q9+'0702'!Q9+'0703'!Q9</f>
        <v>80625.600000000006</v>
      </c>
      <c r="R9" s="25">
        <f>'0701'!R9+'0702'!R9+'0703'!R9</f>
        <v>14348914</v>
      </c>
      <c r="S9" s="9">
        <f>'0701'!S9+'0702'!S9+'0703'!S9</f>
        <v>13631467</v>
      </c>
      <c r="T9" s="9">
        <f>'0701'!T9+'0702'!T9+'0703'!T9</f>
        <v>717447</v>
      </c>
      <c r="U9" s="25">
        <f>'0701'!U9+'0702'!U9+'0703'!U9</f>
        <v>14348914</v>
      </c>
      <c r="V9" s="9">
        <f>'0701'!V9+'0702'!V9+'0703'!V9</f>
        <v>13631467</v>
      </c>
      <c r="W9" s="9">
        <f>'0701'!W9+'0702'!W9+'0703'!Z9</f>
        <v>717447</v>
      </c>
      <c r="X9" s="25">
        <f>'0701'!X9+'0702'!X9+'0703'!X9</f>
        <v>14348914</v>
      </c>
      <c r="Y9" s="9">
        <f>'0701'!Y9+'0702'!Y9+'0703'!AA9</f>
        <v>13359148</v>
      </c>
      <c r="Z9" s="9">
        <f>'0701'!Z9+'0702'!Z9+'0703'!Z9</f>
        <v>717447</v>
      </c>
      <c r="AA9" s="9">
        <f>'0701'!AA9+'0702'!AA9+'0703'!AA9</f>
        <v>8156285</v>
      </c>
      <c r="AB9" s="9">
        <f>'0701'!AB9+'0702'!AB9+'0703'!AB9</f>
        <v>8156285</v>
      </c>
      <c r="AC9" s="9">
        <f>'0701'!AC9+'0702'!AC9+'0703'!AC9</f>
        <v>8156285</v>
      </c>
      <c r="AD9" s="30"/>
      <c r="AE9" s="30"/>
      <c r="AF9" s="30"/>
      <c r="AG9" s="30"/>
      <c r="AH9" s="30"/>
      <c r="AI9" s="30"/>
    </row>
    <row r="10" spans="1:35">
      <c r="A10" s="7">
        <v>3</v>
      </c>
      <c r="B10" s="8" t="s">
        <v>7</v>
      </c>
      <c r="C10" s="29">
        <v>3000</v>
      </c>
      <c r="D10" s="29">
        <f>'0701'!D10+'0702'!D10+'0703'!D10</f>
        <v>717</v>
      </c>
      <c r="E10" s="29">
        <v>12</v>
      </c>
      <c r="F10" s="21">
        <v>1.018</v>
      </c>
      <c r="G10" s="23">
        <f>'0701'!G10+'0702'!G10+'0703'!G10</f>
        <v>26276616</v>
      </c>
      <c r="H10" s="29">
        <v>2500</v>
      </c>
      <c r="I10" s="29">
        <f>'0701'!I10+'0702'!I10+'0703'!I10</f>
        <v>16</v>
      </c>
      <c r="J10" s="29">
        <v>12</v>
      </c>
      <c r="K10" s="21">
        <v>1.018</v>
      </c>
      <c r="L10" s="23">
        <f>'0701'!L10+'0702'!L10+'0703'!L10</f>
        <v>488640</v>
      </c>
      <c r="M10" s="29">
        <v>2200</v>
      </c>
      <c r="N10" s="29">
        <f>'0701'!N10+'0702'!N10+'0703'!N10</f>
        <v>8</v>
      </c>
      <c r="O10" s="29">
        <v>12</v>
      </c>
      <c r="P10" s="21">
        <v>1.018</v>
      </c>
      <c r="Q10" s="23">
        <f>'0701'!Q10+'0702'!Q10+'0703'!Q10</f>
        <v>215001.60000000001</v>
      </c>
      <c r="R10" s="25">
        <f>'0701'!R10+'0702'!R10+'0703'!R10</f>
        <v>26980258</v>
      </c>
      <c r="S10" s="9">
        <f>'0701'!S10+'0702'!S10+'0703'!S10</f>
        <v>25631245</v>
      </c>
      <c r="T10" s="9">
        <f>'0701'!T10+'0702'!T10+'0703'!T10</f>
        <v>1349013</v>
      </c>
      <c r="U10" s="25">
        <f>'0701'!U10+'0702'!U10+'0703'!U10</f>
        <v>26980258</v>
      </c>
      <c r="V10" s="9">
        <f>'0701'!V10+'0702'!V10+'0703'!V10</f>
        <v>25631245</v>
      </c>
      <c r="W10" s="9">
        <f>'0701'!W10+'0702'!W10+'0703'!Z10</f>
        <v>1349013</v>
      </c>
      <c r="X10" s="25">
        <f>'0701'!X10+'0702'!X10+'0703'!X10</f>
        <v>26980258</v>
      </c>
      <c r="Y10" s="9">
        <f>'0701'!Y10+'0702'!Y10+'0703'!AA10</f>
        <v>25225289</v>
      </c>
      <c r="Z10" s="9">
        <f>'0701'!Z10+'0702'!Z10+'0703'!Z10</f>
        <v>1349013</v>
      </c>
      <c r="AA10" s="9">
        <f>'0701'!AA10+'0702'!AA10+'0703'!AA10</f>
        <v>15403283</v>
      </c>
      <c r="AB10" s="9">
        <f>'0701'!AB10+'0702'!AB10+'0703'!AB10</f>
        <v>15403283</v>
      </c>
      <c r="AC10" s="9">
        <f>'0701'!AC10+'0702'!AC10+'0703'!AC10</f>
        <v>15403283</v>
      </c>
      <c r="AD10" s="30"/>
      <c r="AE10" s="30"/>
      <c r="AF10" s="30"/>
      <c r="AG10" s="30"/>
      <c r="AH10" s="30"/>
      <c r="AI10" s="30"/>
    </row>
    <row r="11" spans="1:35">
      <c r="A11" s="7">
        <v>4</v>
      </c>
      <c r="B11" s="8" t="s">
        <v>8</v>
      </c>
      <c r="C11" s="29">
        <v>3000</v>
      </c>
      <c r="D11" s="29">
        <f>'0701'!D11+'0702'!D11+'0703'!D11</f>
        <v>467</v>
      </c>
      <c r="E11" s="29">
        <v>12</v>
      </c>
      <c r="F11" s="21">
        <v>1.018</v>
      </c>
      <c r="G11" s="23">
        <f>'0701'!G11+'0702'!G11+'0703'!G11</f>
        <v>17114616</v>
      </c>
      <c r="H11" s="29">
        <v>2500</v>
      </c>
      <c r="I11" s="29">
        <f>'0701'!I11+'0702'!I11+'0703'!I11</f>
        <v>2</v>
      </c>
      <c r="J11" s="29">
        <v>12</v>
      </c>
      <c r="K11" s="21">
        <v>1.018</v>
      </c>
      <c r="L11" s="23">
        <f>'0701'!L11+'0702'!L11+'0703'!L11</f>
        <v>61080</v>
      </c>
      <c r="M11" s="29">
        <v>2200</v>
      </c>
      <c r="N11" s="29">
        <f>'0701'!N11+'0702'!N11+'0703'!N11</f>
        <v>0</v>
      </c>
      <c r="O11" s="29">
        <v>12</v>
      </c>
      <c r="P11" s="21">
        <v>1.018</v>
      </c>
      <c r="Q11" s="23">
        <f>'0701'!Q11+'0702'!Q11+'0703'!Q11</f>
        <v>0</v>
      </c>
      <c r="R11" s="25">
        <f>'0701'!R11+'0702'!R11+'0703'!R11</f>
        <v>17175696</v>
      </c>
      <c r="S11" s="9">
        <f>'0701'!S11+'0702'!S11+'0703'!S11</f>
        <v>16316911</v>
      </c>
      <c r="T11" s="9">
        <f>'0701'!T11+'0702'!T11+'0703'!T11</f>
        <v>858785</v>
      </c>
      <c r="U11" s="25">
        <f>'0701'!U11+'0702'!U11+'0703'!U11</f>
        <v>17175696</v>
      </c>
      <c r="V11" s="9">
        <f>'0701'!V11+'0702'!V11+'0703'!V11</f>
        <v>16316911</v>
      </c>
      <c r="W11" s="9">
        <f>'0701'!W11+'0702'!W11+'0703'!Z11</f>
        <v>858785</v>
      </c>
      <c r="X11" s="25">
        <f>'0701'!X11+'0702'!X11+'0703'!X11</f>
        <v>17175696</v>
      </c>
      <c r="Y11" s="9">
        <f>'0701'!Y11+'0702'!Y11+'0703'!AA11</f>
        <v>16029464</v>
      </c>
      <c r="Z11" s="9">
        <f>'0701'!Z11+'0702'!Z11+'0703'!Z11</f>
        <v>858785</v>
      </c>
      <c r="AA11" s="9">
        <f>'0701'!AA11+'0702'!AA11+'0703'!AA11</f>
        <v>9767564</v>
      </c>
      <c r="AB11" s="9">
        <f>'0701'!AB11+'0702'!AB11+'0703'!AB11</f>
        <v>9767564</v>
      </c>
      <c r="AC11" s="9">
        <f>'0701'!AC11+'0702'!AC11+'0703'!AC11</f>
        <v>9767564</v>
      </c>
      <c r="AD11" s="30"/>
      <c r="AE11" s="30"/>
      <c r="AF11" s="30"/>
      <c r="AG11" s="30"/>
      <c r="AH11" s="30"/>
      <c r="AI11" s="30"/>
    </row>
    <row r="12" spans="1:35">
      <c r="A12" s="7">
        <v>5</v>
      </c>
      <c r="B12" s="10" t="s">
        <v>9</v>
      </c>
      <c r="C12" s="29">
        <v>3000</v>
      </c>
      <c r="D12" s="29">
        <f>'0701'!D12+'0702'!D12+'0703'!D12</f>
        <v>156</v>
      </c>
      <c r="E12" s="29">
        <v>12</v>
      </c>
      <c r="F12" s="21">
        <v>1.018</v>
      </c>
      <c r="G12" s="23">
        <f>'0701'!G12+'0702'!G12+'0703'!G12</f>
        <v>5717088</v>
      </c>
      <c r="H12" s="29">
        <v>2500</v>
      </c>
      <c r="I12" s="29">
        <f>'0701'!I12+'0702'!I12+'0703'!I12</f>
        <v>1</v>
      </c>
      <c r="J12" s="29">
        <v>12</v>
      </c>
      <c r="K12" s="21">
        <v>1.018</v>
      </c>
      <c r="L12" s="23">
        <f>'0701'!L12+'0702'!L12+'0703'!L12</f>
        <v>30540</v>
      </c>
      <c r="M12" s="29">
        <v>2200</v>
      </c>
      <c r="N12" s="29">
        <f>'0701'!N12+'0702'!N12+'0703'!N12</f>
        <v>3</v>
      </c>
      <c r="O12" s="29">
        <v>12</v>
      </c>
      <c r="P12" s="21">
        <v>1.018</v>
      </c>
      <c r="Q12" s="23">
        <f>'0701'!Q12+'0702'!Q12+'0703'!Q12</f>
        <v>80625.600000000006</v>
      </c>
      <c r="R12" s="25">
        <f>'0701'!R12+'0702'!R12+'0703'!R12</f>
        <v>5828254</v>
      </c>
      <c r="S12" s="9">
        <f>'0701'!S12+'0702'!S12+'0703'!S12</f>
        <v>5536841</v>
      </c>
      <c r="T12" s="9">
        <f>'0701'!T12+'0702'!T12+'0703'!T12</f>
        <v>291413</v>
      </c>
      <c r="U12" s="25">
        <f>'0701'!U12+'0702'!U12+'0703'!U12</f>
        <v>5828254</v>
      </c>
      <c r="V12" s="9">
        <f>'0701'!V12+'0702'!V12+'0703'!V12</f>
        <v>5536841</v>
      </c>
      <c r="W12" s="9">
        <f>'0701'!W12+'0702'!W12+'0703'!Z12</f>
        <v>291413</v>
      </c>
      <c r="X12" s="25">
        <f>'0701'!X12+'0702'!X12+'0703'!X12</f>
        <v>5828254</v>
      </c>
      <c r="Y12" s="9">
        <f>'0701'!Y12+'0702'!Y12+'0703'!AA12</f>
        <v>5536841</v>
      </c>
      <c r="Z12" s="9">
        <f>'0701'!Z12+'0702'!Z12+'0703'!Z12</f>
        <v>291413</v>
      </c>
      <c r="AA12" s="9">
        <f>'0701'!AA12+'0702'!AA12+'0703'!AA12</f>
        <v>3318211</v>
      </c>
      <c r="AB12" s="9">
        <f>'0701'!AB12+'0702'!AB12+'0703'!AB12</f>
        <v>3318211</v>
      </c>
      <c r="AC12" s="9">
        <f>'0701'!AC12+'0702'!AC12+'0703'!AC12</f>
        <v>3318211</v>
      </c>
      <c r="AD12" s="30"/>
      <c r="AE12" s="30"/>
      <c r="AF12" s="30"/>
      <c r="AG12" s="30"/>
      <c r="AH12" s="30"/>
      <c r="AI12" s="30"/>
    </row>
    <row r="13" spans="1:35">
      <c r="A13" s="7">
        <v>6</v>
      </c>
      <c r="B13" s="10" t="s">
        <v>10</v>
      </c>
      <c r="C13" s="29">
        <v>3000</v>
      </c>
      <c r="D13" s="29">
        <f>'0701'!D13+'0702'!D13+'0703'!D13</f>
        <v>341</v>
      </c>
      <c r="E13" s="29">
        <v>12</v>
      </c>
      <c r="F13" s="21">
        <v>1.018</v>
      </c>
      <c r="G13" s="23">
        <f>'0701'!G13+'0702'!G13+'0703'!G13</f>
        <v>12496968</v>
      </c>
      <c r="H13" s="29">
        <v>2500</v>
      </c>
      <c r="I13" s="29">
        <f>'0701'!I13+'0702'!I13+'0703'!I13</f>
        <v>7</v>
      </c>
      <c r="J13" s="29">
        <v>12</v>
      </c>
      <c r="K13" s="21">
        <v>1.018</v>
      </c>
      <c r="L13" s="23">
        <f>'0701'!L13+'0702'!L13+'0703'!L13</f>
        <v>213780</v>
      </c>
      <c r="M13" s="29">
        <v>2200</v>
      </c>
      <c r="N13" s="29">
        <f>'0701'!N13+'0702'!N13+'0703'!N13</f>
        <v>4</v>
      </c>
      <c r="O13" s="29">
        <v>12</v>
      </c>
      <c r="P13" s="21">
        <v>1.018</v>
      </c>
      <c r="Q13" s="23">
        <f>'0701'!Q13+'0702'!Q13+'0703'!Q13</f>
        <v>107500.8</v>
      </c>
      <c r="R13" s="25">
        <f>'0701'!R13+'0702'!R13+'0703'!R13</f>
        <v>12818249</v>
      </c>
      <c r="S13" s="9">
        <f>'0701'!S13+'0702'!S13+'0703'!S13</f>
        <v>12177337</v>
      </c>
      <c r="T13" s="9">
        <f>'0701'!T13+'0702'!T13+'0703'!T13</f>
        <v>640912</v>
      </c>
      <c r="U13" s="25">
        <f>'0701'!U13+'0702'!U13+'0703'!U13</f>
        <v>12818249</v>
      </c>
      <c r="V13" s="9">
        <f>'0701'!V13+'0702'!V13+'0703'!V13</f>
        <v>12177337</v>
      </c>
      <c r="W13" s="9">
        <f>'0701'!W13+'0702'!W13+'0703'!Z13</f>
        <v>640912</v>
      </c>
      <c r="X13" s="25">
        <f>'0701'!X13+'0702'!X13+'0703'!X13</f>
        <v>12818249</v>
      </c>
      <c r="Y13" s="9">
        <f>'0701'!Y13+'0702'!Y13+'0703'!AA13</f>
        <v>11859632</v>
      </c>
      <c r="Z13" s="9">
        <f>'0701'!Z13+'0702'!Z13+'0703'!Z13</f>
        <v>640912</v>
      </c>
      <c r="AA13" s="9">
        <f>'0701'!AA13+'0702'!AA13+'0703'!AA13</f>
        <v>7304224</v>
      </c>
      <c r="AB13" s="9">
        <f>'0701'!AB13+'0702'!AB13+'0703'!AB13</f>
        <v>7304224</v>
      </c>
      <c r="AC13" s="9">
        <f>'0701'!AC13+'0702'!AC13+'0703'!AC13</f>
        <v>7304224</v>
      </c>
      <c r="AD13" s="30"/>
      <c r="AE13" s="30"/>
      <c r="AF13" s="30"/>
      <c r="AG13" s="30"/>
      <c r="AH13" s="30"/>
      <c r="AI13" s="30"/>
    </row>
    <row r="14" spans="1:35">
      <c r="A14" s="7">
        <v>7</v>
      </c>
      <c r="B14" s="10" t="s">
        <v>11</v>
      </c>
      <c r="C14" s="29">
        <v>3000</v>
      </c>
      <c r="D14" s="29">
        <f>'0701'!D14+'0702'!D14+'0703'!D14</f>
        <v>595</v>
      </c>
      <c r="E14" s="29">
        <v>12</v>
      </c>
      <c r="F14" s="21">
        <v>1.018</v>
      </c>
      <c r="G14" s="23">
        <f>'0701'!G14+'0702'!G14+'0703'!G14</f>
        <v>21805560</v>
      </c>
      <c r="H14" s="29">
        <v>2500</v>
      </c>
      <c r="I14" s="29">
        <f>'0701'!I14+'0702'!I14+'0703'!I14</f>
        <v>7</v>
      </c>
      <c r="J14" s="29">
        <v>12</v>
      </c>
      <c r="K14" s="21">
        <v>1.018</v>
      </c>
      <c r="L14" s="23">
        <f>'0701'!L14+'0702'!L14+'0703'!L14</f>
        <v>213780</v>
      </c>
      <c r="M14" s="29">
        <v>2200</v>
      </c>
      <c r="N14" s="29">
        <f>'0701'!N14+'0702'!N14+'0703'!N14</f>
        <v>4</v>
      </c>
      <c r="O14" s="29">
        <v>12</v>
      </c>
      <c r="P14" s="21">
        <v>1.018</v>
      </c>
      <c r="Q14" s="23">
        <f>'0701'!Q14+'0702'!Q14+'0703'!Q14</f>
        <v>107500.8</v>
      </c>
      <c r="R14" s="25">
        <f>'0701'!R14+'0702'!R14+'0703'!R14</f>
        <v>22126841</v>
      </c>
      <c r="S14" s="9">
        <f>'0701'!S14+'0702'!S14+'0703'!S14</f>
        <v>21020499</v>
      </c>
      <c r="T14" s="9">
        <f>'0701'!T14+'0702'!T14+'0703'!T14</f>
        <v>1106342</v>
      </c>
      <c r="U14" s="25">
        <f>'0701'!U14+'0702'!U14+'0703'!U14</f>
        <v>22126841</v>
      </c>
      <c r="V14" s="9">
        <f>'0701'!V14+'0702'!V14+'0703'!V14</f>
        <v>21020499</v>
      </c>
      <c r="W14" s="9">
        <f>'0701'!W14+'0702'!W14+'0703'!Z14</f>
        <v>1106342</v>
      </c>
      <c r="X14" s="25">
        <f>'0701'!X14+'0702'!X14+'0703'!X14</f>
        <v>22126841</v>
      </c>
      <c r="Y14" s="9">
        <f>'0701'!Y14+'0702'!Y14+'0703'!AA14</f>
        <v>20884340</v>
      </c>
      <c r="Z14" s="9">
        <f>'0701'!Z14+'0702'!Z14+'0703'!Z14</f>
        <v>1106342</v>
      </c>
      <c r="AA14" s="9">
        <f>'0701'!AA14+'0702'!AA14+'0703'!AA14</f>
        <v>12637065</v>
      </c>
      <c r="AB14" s="9">
        <f>'0701'!AB14+'0702'!AB14+'0703'!AB14</f>
        <v>12637065</v>
      </c>
      <c r="AC14" s="9">
        <f>'0701'!AC14+'0702'!AC14+'0703'!AC14</f>
        <v>12637065</v>
      </c>
      <c r="AD14" s="30"/>
      <c r="AE14" s="30"/>
      <c r="AF14" s="30"/>
      <c r="AG14" s="30"/>
      <c r="AH14" s="30"/>
      <c r="AI14" s="30"/>
    </row>
    <row r="15" spans="1:35">
      <c r="A15" s="7">
        <v>8</v>
      </c>
      <c r="B15" s="10" t="s">
        <v>12</v>
      </c>
      <c r="C15" s="29">
        <v>3000</v>
      </c>
      <c r="D15" s="29">
        <f>'0701'!D15+'0702'!D15+'0703'!D15</f>
        <v>472</v>
      </c>
      <c r="E15" s="29">
        <v>12</v>
      </c>
      <c r="F15" s="21">
        <v>1.018</v>
      </c>
      <c r="G15" s="23">
        <f>'0701'!G15+'0702'!G15+'0703'!G15</f>
        <v>17297856</v>
      </c>
      <c r="H15" s="29">
        <v>2500</v>
      </c>
      <c r="I15" s="29">
        <f>'0701'!I15+'0702'!I15+'0703'!I15</f>
        <v>8</v>
      </c>
      <c r="J15" s="29">
        <v>12</v>
      </c>
      <c r="K15" s="21">
        <v>1.018</v>
      </c>
      <c r="L15" s="23">
        <f>'0701'!L15+'0702'!L15+'0703'!L15</f>
        <v>244320</v>
      </c>
      <c r="M15" s="29">
        <v>2200</v>
      </c>
      <c r="N15" s="29">
        <f>'0701'!N15+'0702'!N15+'0703'!N15</f>
        <v>9</v>
      </c>
      <c r="O15" s="29">
        <v>12</v>
      </c>
      <c r="P15" s="21">
        <v>1.018</v>
      </c>
      <c r="Q15" s="23">
        <f>'0701'!Q15+'0702'!Q15+'0703'!Q15</f>
        <v>241876.80000000002</v>
      </c>
      <c r="R15" s="25">
        <f>'0701'!R15+'0702'!R15+'0703'!R15</f>
        <v>17784053</v>
      </c>
      <c r="S15" s="9">
        <f>'0701'!S15+'0702'!S15+'0703'!S15</f>
        <v>16894850</v>
      </c>
      <c r="T15" s="9">
        <f>'0701'!T15+'0702'!T15+'0703'!T15</f>
        <v>889203</v>
      </c>
      <c r="U15" s="25">
        <f>'0701'!U15+'0702'!U15+'0703'!U15</f>
        <v>17784053</v>
      </c>
      <c r="V15" s="9">
        <f>'0701'!V15+'0702'!V15+'0703'!V15</f>
        <v>16894850</v>
      </c>
      <c r="W15" s="9">
        <f>'0701'!W15+'0702'!W15+'0703'!Z15</f>
        <v>889203</v>
      </c>
      <c r="X15" s="25">
        <f>'0701'!X15+'0702'!X15+'0703'!X15</f>
        <v>17784053</v>
      </c>
      <c r="Y15" s="9">
        <f>'0701'!Y15+'0702'!Y15+'0703'!AA15</f>
        <v>16683047</v>
      </c>
      <c r="Z15" s="9">
        <f>'0701'!Z15+'0702'!Z15+'0703'!Z15</f>
        <v>889203</v>
      </c>
      <c r="AA15" s="9">
        <f>'0701'!AA15+'0702'!AA15+'0703'!AA15</f>
        <v>10125846</v>
      </c>
      <c r="AB15" s="9">
        <f>'0701'!AB15+'0702'!AB15+'0703'!AB15</f>
        <v>10125846</v>
      </c>
      <c r="AC15" s="9">
        <f>'0701'!AC15+'0702'!AC15+'0703'!AC15</f>
        <v>10125846</v>
      </c>
      <c r="AD15" s="30"/>
      <c r="AE15" s="30"/>
      <c r="AF15" s="30"/>
      <c r="AG15" s="30"/>
      <c r="AH15" s="30"/>
      <c r="AI15" s="30"/>
    </row>
    <row r="16" spans="1:35">
      <c r="A16" s="7">
        <v>9</v>
      </c>
      <c r="B16" s="10" t="s">
        <v>13</v>
      </c>
      <c r="C16" s="29">
        <v>3000</v>
      </c>
      <c r="D16" s="29">
        <f>'0701'!D16+'0702'!D16+'0703'!D16</f>
        <v>235</v>
      </c>
      <c r="E16" s="29">
        <v>12</v>
      </c>
      <c r="F16" s="21">
        <v>1.018</v>
      </c>
      <c r="G16" s="23">
        <f>'0701'!G16+'0702'!G16+'0703'!G16</f>
        <v>8612280</v>
      </c>
      <c r="H16" s="29">
        <v>2500</v>
      </c>
      <c r="I16" s="29">
        <f>'0701'!I16+'0702'!I16+'0703'!I16</f>
        <v>2</v>
      </c>
      <c r="J16" s="29">
        <v>12</v>
      </c>
      <c r="K16" s="21">
        <v>1.018</v>
      </c>
      <c r="L16" s="23">
        <f>'0701'!L16+'0702'!L16+'0703'!L16</f>
        <v>61080</v>
      </c>
      <c r="M16" s="29">
        <v>2200</v>
      </c>
      <c r="N16" s="29">
        <f>'0701'!N16+'0702'!N16+'0703'!N16</f>
        <v>2</v>
      </c>
      <c r="O16" s="29">
        <v>12</v>
      </c>
      <c r="P16" s="21">
        <v>1.018</v>
      </c>
      <c r="Q16" s="23">
        <f>'0701'!Q16+'0702'!Q16+'0703'!Q16</f>
        <v>53750.400000000001</v>
      </c>
      <c r="R16" s="25">
        <f>'0701'!R16+'0702'!R16+'0703'!R16</f>
        <v>8727110</v>
      </c>
      <c r="S16" s="9">
        <f>'0701'!S16+'0702'!S16+'0703'!S16</f>
        <v>8290755</v>
      </c>
      <c r="T16" s="9">
        <f>'0701'!T16+'0702'!T16+'0703'!T16</f>
        <v>436355</v>
      </c>
      <c r="U16" s="25">
        <f>'0701'!U16+'0702'!U16+'0703'!U16</f>
        <v>8727110</v>
      </c>
      <c r="V16" s="9">
        <f>'0701'!V16+'0702'!V16+'0703'!V16</f>
        <v>8290755</v>
      </c>
      <c r="W16" s="9">
        <f>'0701'!W16+'0702'!W16+'0703'!Z16</f>
        <v>436355</v>
      </c>
      <c r="X16" s="25">
        <f>'0701'!X16+'0702'!X16+'0703'!X16</f>
        <v>8727110</v>
      </c>
      <c r="Y16" s="9">
        <f>'0701'!Y16+'0702'!Y16+'0703'!AA16</f>
        <v>8139467</v>
      </c>
      <c r="Z16" s="9">
        <f>'0701'!Z16+'0702'!Z16+'0703'!Z16</f>
        <v>436355</v>
      </c>
      <c r="AA16" s="9">
        <f>'0701'!AA16+'0702'!AA16+'0703'!AA16</f>
        <v>4963704</v>
      </c>
      <c r="AB16" s="9">
        <f>'0701'!AB16+'0702'!AB16+'0703'!AB16</f>
        <v>4963704</v>
      </c>
      <c r="AC16" s="9">
        <f>'0701'!AC16+'0702'!AC16+'0703'!AC16</f>
        <v>4963704</v>
      </c>
      <c r="AD16" s="30"/>
      <c r="AE16" s="30"/>
      <c r="AF16" s="30"/>
      <c r="AG16" s="30"/>
      <c r="AH16" s="30"/>
      <c r="AI16" s="30"/>
    </row>
    <row r="17" spans="1:35">
      <c r="A17" s="7">
        <v>10</v>
      </c>
      <c r="B17" s="10" t="s">
        <v>14</v>
      </c>
      <c r="C17" s="29">
        <v>3000</v>
      </c>
      <c r="D17" s="29">
        <f>'0701'!D17+'0702'!D17+'0703'!D17</f>
        <v>577</v>
      </c>
      <c r="E17" s="29">
        <v>12</v>
      </c>
      <c r="F17" s="21">
        <v>1.018</v>
      </c>
      <c r="G17" s="23">
        <f>'0701'!G17+'0702'!G17+'0703'!G17</f>
        <v>21145896</v>
      </c>
      <c r="H17" s="29">
        <v>2500</v>
      </c>
      <c r="I17" s="29">
        <f>'0701'!I17+'0702'!I17+'0703'!I17</f>
        <v>8</v>
      </c>
      <c r="J17" s="29">
        <v>12</v>
      </c>
      <c r="K17" s="21">
        <v>1.018</v>
      </c>
      <c r="L17" s="23">
        <f>'0701'!L17+'0702'!L17+'0703'!L17</f>
        <v>244320</v>
      </c>
      <c r="M17" s="29">
        <v>2200</v>
      </c>
      <c r="N17" s="29">
        <f>'0701'!N17+'0702'!N17+'0703'!N17</f>
        <v>7</v>
      </c>
      <c r="O17" s="29">
        <v>12</v>
      </c>
      <c r="P17" s="21">
        <v>1.018</v>
      </c>
      <c r="Q17" s="23">
        <f>'0701'!Q17+'0702'!Q17+'0703'!Q17</f>
        <v>188126.4</v>
      </c>
      <c r="R17" s="25">
        <f>'0701'!R17+'0702'!R17+'0703'!R17</f>
        <v>21578342</v>
      </c>
      <c r="S17" s="9">
        <f>'0701'!S17+'0702'!S17+'0703'!S17</f>
        <v>20499425</v>
      </c>
      <c r="T17" s="9">
        <f>'0701'!T17+'0702'!T17+'0703'!T17</f>
        <v>1078917</v>
      </c>
      <c r="U17" s="25">
        <f>'0701'!U17+'0702'!U17+'0703'!U17</f>
        <v>21578342</v>
      </c>
      <c r="V17" s="9">
        <f>'0701'!V17+'0702'!V17+'0703'!V17</f>
        <v>20499425</v>
      </c>
      <c r="W17" s="9">
        <f>'0701'!W17+'0702'!W17+'0703'!Z17</f>
        <v>1078917</v>
      </c>
      <c r="X17" s="25">
        <f>'0701'!X17+'0702'!X17+'0703'!X17</f>
        <v>21578342</v>
      </c>
      <c r="Y17" s="9">
        <f>'0701'!Y17+'0702'!Y17+'0703'!AA17</f>
        <v>20227106</v>
      </c>
      <c r="Z17" s="9">
        <f>'0701'!Z17+'0702'!Z17+'0703'!Z17</f>
        <v>1078917</v>
      </c>
      <c r="AA17" s="9">
        <f>'0701'!AA17+'0702'!AA17+'0703'!AA17</f>
        <v>12316337</v>
      </c>
      <c r="AB17" s="9">
        <f>'0701'!AB17+'0702'!AB17+'0703'!AB17</f>
        <v>12316337</v>
      </c>
      <c r="AC17" s="9">
        <f>'0701'!AC17+'0702'!AC17+'0703'!AC17</f>
        <v>12316337</v>
      </c>
      <c r="AD17" s="30"/>
      <c r="AE17" s="30"/>
      <c r="AF17" s="30"/>
      <c r="AG17" s="30"/>
      <c r="AH17" s="30"/>
      <c r="AI17" s="30"/>
    </row>
    <row r="18" spans="1:35">
      <c r="A18" s="7">
        <v>11</v>
      </c>
      <c r="B18" s="10" t="s">
        <v>15</v>
      </c>
      <c r="C18" s="29">
        <v>3000</v>
      </c>
      <c r="D18" s="29">
        <f>'0701'!D18+'0702'!D18+'0703'!D18</f>
        <v>908</v>
      </c>
      <c r="E18" s="29">
        <v>12</v>
      </c>
      <c r="F18" s="21">
        <v>1.018</v>
      </c>
      <c r="G18" s="23">
        <f>'0701'!G18+'0702'!G18+'0703'!G18</f>
        <v>33276384</v>
      </c>
      <c r="H18" s="29">
        <v>2500</v>
      </c>
      <c r="I18" s="29">
        <f>'0701'!I18+'0702'!I18+'0703'!I18</f>
        <v>15</v>
      </c>
      <c r="J18" s="29">
        <v>12</v>
      </c>
      <c r="K18" s="21">
        <v>1.018</v>
      </c>
      <c r="L18" s="23">
        <f>'0701'!L18+'0702'!L18+'0703'!L18</f>
        <v>458100</v>
      </c>
      <c r="M18" s="29">
        <v>2200</v>
      </c>
      <c r="N18" s="29">
        <f>'0701'!N18+'0702'!N18+'0703'!N18</f>
        <v>7</v>
      </c>
      <c r="O18" s="29">
        <v>12</v>
      </c>
      <c r="P18" s="21">
        <v>1.018</v>
      </c>
      <c r="Q18" s="23">
        <f>'0701'!Q18+'0702'!Q18+'0703'!Q18</f>
        <v>188126.4</v>
      </c>
      <c r="R18" s="25">
        <f>'0701'!R18+'0702'!R18+'0703'!R18</f>
        <v>33922610</v>
      </c>
      <c r="S18" s="9">
        <f>'0701'!S18+'0702'!S18+'0703'!S18</f>
        <v>32226479</v>
      </c>
      <c r="T18" s="9">
        <f>'0701'!T18+'0702'!T18+'0703'!T18</f>
        <v>1696131</v>
      </c>
      <c r="U18" s="25">
        <f>'0701'!U18+'0702'!U18+'0703'!U18</f>
        <v>33922610</v>
      </c>
      <c r="V18" s="9">
        <f>'0701'!V18+'0702'!V18+'0703'!V18</f>
        <v>32226479</v>
      </c>
      <c r="W18" s="9">
        <f>'0701'!W18+'0702'!W18+'0703'!Z18</f>
        <v>1696131</v>
      </c>
      <c r="X18" s="25">
        <f>'0701'!X18+'0702'!X18+'0703'!X18</f>
        <v>33922610</v>
      </c>
      <c r="Y18" s="9">
        <f>'0701'!Y18+'0702'!Y18+'0703'!AA18</f>
        <v>31681842</v>
      </c>
      <c r="Z18" s="9">
        <f>'0701'!Z18+'0702'!Z18+'0703'!Z18</f>
        <v>1696131</v>
      </c>
      <c r="AA18" s="9">
        <f>'0701'!AA18+'0702'!AA18+'0703'!AA18</f>
        <v>19311385</v>
      </c>
      <c r="AB18" s="9">
        <f>'0701'!AB18+'0702'!AB18+'0703'!AB18</f>
        <v>19311385</v>
      </c>
      <c r="AC18" s="9">
        <f>'0701'!AC18+'0702'!AC18+'0703'!AC18</f>
        <v>19311385</v>
      </c>
      <c r="AD18" s="30"/>
      <c r="AE18" s="30"/>
      <c r="AF18" s="30"/>
      <c r="AG18" s="30"/>
      <c r="AH18" s="30"/>
      <c r="AI18" s="30"/>
    </row>
    <row r="19" spans="1:35">
      <c r="A19" s="7">
        <v>12</v>
      </c>
      <c r="B19" s="10" t="s">
        <v>16</v>
      </c>
      <c r="C19" s="29">
        <v>3000</v>
      </c>
      <c r="D19" s="29">
        <f>'0701'!D19+'0702'!D19+'0703'!D19</f>
        <v>362</v>
      </c>
      <c r="E19" s="29">
        <v>12</v>
      </c>
      <c r="F19" s="21">
        <v>1.018</v>
      </c>
      <c r="G19" s="23">
        <f>'0701'!G19+'0702'!G19+'0703'!G19</f>
        <v>13266576</v>
      </c>
      <c r="H19" s="29">
        <v>2500</v>
      </c>
      <c r="I19" s="29">
        <f>'0701'!I19+'0702'!I19+'0703'!I19</f>
        <v>5</v>
      </c>
      <c r="J19" s="29">
        <v>12</v>
      </c>
      <c r="K19" s="21">
        <v>1.018</v>
      </c>
      <c r="L19" s="23">
        <f>'0701'!L19+'0702'!L19+'0703'!L19</f>
        <v>152700</v>
      </c>
      <c r="M19" s="29">
        <v>2200</v>
      </c>
      <c r="N19" s="29">
        <f>'0701'!N19+'0702'!N19+'0703'!N19</f>
        <v>4</v>
      </c>
      <c r="O19" s="29">
        <v>12</v>
      </c>
      <c r="P19" s="21">
        <v>1.018</v>
      </c>
      <c r="Q19" s="23">
        <f>'0701'!Q19+'0702'!Q19+'0703'!Q19</f>
        <v>107500.8</v>
      </c>
      <c r="R19" s="25">
        <f>'0701'!R19+'0702'!R19+'0703'!R19</f>
        <v>13526777</v>
      </c>
      <c r="S19" s="9">
        <f>'0701'!S19+'0702'!S19+'0703'!S19</f>
        <v>12850438</v>
      </c>
      <c r="T19" s="9">
        <f>'0701'!T19+'0702'!T19+'0703'!T19</f>
        <v>676339</v>
      </c>
      <c r="U19" s="25">
        <f>'0701'!U19+'0702'!U19+'0703'!U19</f>
        <v>13526777</v>
      </c>
      <c r="V19" s="9">
        <f>'0701'!V19+'0702'!V19+'0703'!V19</f>
        <v>12850438</v>
      </c>
      <c r="W19" s="9">
        <f>'0701'!W19+'0702'!W19+'0703'!Z19</f>
        <v>676339</v>
      </c>
      <c r="X19" s="25">
        <f>'0701'!X19+'0702'!X19+'0703'!X19</f>
        <v>13526777</v>
      </c>
      <c r="Y19" s="9">
        <f>'0701'!Y19+'0702'!Y19+'0703'!AA19</f>
        <v>12517604</v>
      </c>
      <c r="Z19" s="9">
        <f>'0701'!Z19+'0702'!Z19+'0703'!Z19</f>
        <v>676339</v>
      </c>
      <c r="AA19" s="9">
        <f>'0701'!AA19+'0702'!AA19+'0703'!AA19</f>
        <v>7698426</v>
      </c>
      <c r="AB19" s="9">
        <f>'0701'!AB19+'0702'!AB19+'0703'!AB19</f>
        <v>7698426</v>
      </c>
      <c r="AC19" s="9">
        <f>'0701'!AC19+'0702'!AC19+'0703'!AC19</f>
        <v>7698426</v>
      </c>
      <c r="AD19" s="30"/>
      <c r="AE19" s="30"/>
      <c r="AF19" s="30"/>
      <c r="AG19" s="30"/>
      <c r="AH19" s="30"/>
      <c r="AI19" s="30"/>
    </row>
    <row r="20" spans="1:35">
      <c r="A20" s="7">
        <v>13</v>
      </c>
      <c r="B20" s="10" t="s">
        <v>17</v>
      </c>
      <c r="C20" s="29">
        <v>3000</v>
      </c>
      <c r="D20" s="29">
        <f>'0701'!D20+'0702'!D20+'0703'!D20</f>
        <v>373</v>
      </c>
      <c r="E20" s="29">
        <v>12</v>
      </c>
      <c r="F20" s="21">
        <v>1.018</v>
      </c>
      <c r="G20" s="23">
        <f>'0701'!G20+'0702'!G20+'0703'!G20</f>
        <v>13669704</v>
      </c>
      <c r="H20" s="29">
        <v>2500</v>
      </c>
      <c r="I20" s="29">
        <f>'0701'!I20+'0702'!I20+'0703'!I20</f>
        <v>3</v>
      </c>
      <c r="J20" s="29">
        <v>12</v>
      </c>
      <c r="K20" s="21">
        <v>1.018</v>
      </c>
      <c r="L20" s="23">
        <f>'0701'!L20+'0702'!L20+'0703'!L20</f>
        <v>91620</v>
      </c>
      <c r="M20" s="29">
        <v>2200</v>
      </c>
      <c r="N20" s="29">
        <f>'0701'!N20+'0702'!N20+'0703'!N20</f>
        <v>4</v>
      </c>
      <c r="O20" s="29">
        <v>12</v>
      </c>
      <c r="P20" s="21">
        <v>1.018</v>
      </c>
      <c r="Q20" s="23">
        <f>'0701'!Q20+'0702'!Q20+'0703'!Q20</f>
        <v>107500.8</v>
      </c>
      <c r="R20" s="25">
        <f>'0701'!R20+'0702'!R20+'0703'!R20</f>
        <v>13868825</v>
      </c>
      <c r="S20" s="9">
        <f>'0701'!S20+'0702'!S20+'0703'!S20</f>
        <v>13175384</v>
      </c>
      <c r="T20" s="9">
        <f>'0701'!T20+'0702'!T20+'0703'!T20</f>
        <v>693441</v>
      </c>
      <c r="U20" s="25">
        <f>'0701'!U20+'0702'!U20+'0703'!U20</f>
        <v>13868825</v>
      </c>
      <c r="V20" s="9">
        <f>'0701'!V20+'0702'!V20+'0703'!V20</f>
        <v>13175384</v>
      </c>
      <c r="W20" s="9">
        <f>'0701'!W20+'0702'!W20+'0703'!Z20</f>
        <v>693441</v>
      </c>
      <c r="X20" s="25">
        <f>'0701'!X20+'0702'!X20+'0703'!X20</f>
        <v>13868825</v>
      </c>
      <c r="Y20" s="9">
        <f>'0701'!Y20+'0702'!Y20+'0703'!AA20</f>
        <v>13054354</v>
      </c>
      <c r="Z20" s="9">
        <f>'0701'!Z20+'0702'!Z20+'0703'!Z20</f>
        <v>693441</v>
      </c>
      <c r="AA20" s="9">
        <f>'0701'!AA20+'0702'!AA20+'0703'!AA20</f>
        <v>7885452</v>
      </c>
      <c r="AB20" s="9">
        <f>'0701'!AB20+'0702'!AB20+'0703'!AB20</f>
        <v>7885452</v>
      </c>
      <c r="AC20" s="9">
        <f>'0701'!AC20+'0702'!AC20+'0703'!AC20</f>
        <v>7885452</v>
      </c>
      <c r="AD20" s="30"/>
      <c r="AE20" s="30"/>
      <c r="AF20" s="30"/>
      <c r="AG20" s="30"/>
      <c r="AH20" s="30"/>
      <c r="AI20" s="30"/>
    </row>
    <row r="21" spans="1:35">
      <c r="A21" s="7">
        <v>14</v>
      </c>
      <c r="B21" s="10" t="s">
        <v>18</v>
      </c>
      <c r="C21" s="29">
        <v>3000</v>
      </c>
      <c r="D21" s="29">
        <f>'0701'!D21+'0702'!D21+'0703'!D21</f>
        <v>408</v>
      </c>
      <c r="E21" s="29">
        <v>12</v>
      </c>
      <c r="F21" s="21">
        <v>1.018</v>
      </c>
      <c r="G21" s="23">
        <f>'0701'!G21+'0702'!G21+'0703'!G21</f>
        <v>14952384</v>
      </c>
      <c r="H21" s="29">
        <v>2500</v>
      </c>
      <c r="I21" s="29">
        <f>'0701'!I21+'0702'!I21+'0703'!I21</f>
        <v>6</v>
      </c>
      <c r="J21" s="29">
        <v>12</v>
      </c>
      <c r="K21" s="21">
        <v>1.018</v>
      </c>
      <c r="L21" s="23">
        <f>'0701'!L21+'0702'!L21+'0703'!L21</f>
        <v>183240</v>
      </c>
      <c r="M21" s="29">
        <v>2200</v>
      </c>
      <c r="N21" s="29">
        <f>'0701'!N21+'0702'!N21+'0703'!N21</f>
        <v>5</v>
      </c>
      <c r="O21" s="29">
        <v>12</v>
      </c>
      <c r="P21" s="21">
        <v>1.018</v>
      </c>
      <c r="Q21" s="23">
        <f>'0701'!Q21+'0702'!Q21+'0703'!Q21</f>
        <v>134376</v>
      </c>
      <c r="R21" s="25">
        <f>'0701'!R21+'0702'!R21+'0703'!R21</f>
        <v>15270000</v>
      </c>
      <c r="S21" s="9">
        <f>'0701'!S21+'0702'!S21+'0703'!S21</f>
        <v>14506500</v>
      </c>
      <c r="T21" s="9">
        <f>'0701'!T21+'0702'!T21+'0703'!T21</f>
        <v>763500</v>
      </c>
      <c r="U21" s="25">
        <f>'0701'!U21+'0702'!U21+'0703'!U21</f>
        <v>15270000</v>
      </c>
      <c r="V21" s="9">
        <f>'0701'!V21+'0702'!V21+'0703'!V21</f>
        <v>14506500</v>
      </c>
      <c r="W21" s="9">
        <f>'0701'!W21+'0702'!W21+'0703'!Z21</f>
        <v>763500</v>
      </c>
      <c r="X21" s="25">
        <f>'0701'!X21+'0702'!X21+'0703'!X21</f>
        <v>15270000</v>
      </c>
      <c r="Y21" s="9">
        <f>'0701'!Y21+'0702'!Y21+'0703'!AA21</f>
        <v>14370341</v>
      </c>
      <c r="Z21" s="9">
        <f>'0701'!Z21+'0702'!Z21+'0703'!Z21</f>
        <v>763500</v>
      </c>
      <c r="AA21" s="9">
        <f>'0701'!AA21+'0702'!AA21+'0703'!AA21</f>
        <v>8702696</v>
      </c>
      <c r="AB21" s="9">
        <f>'0701'!AB21+'0702'!AB21+'0703'!AB21</f>
        <v>8702696</v>
      </c>
      <c r="AC21" s="9">
        <f>'0701'!AC21+'0702'!AC21+'0703'!AC21</f>
        <v>8702696</v>
      </c>
      <c r="AD21" s="30"/>
      <c r="AE21" s="30"/>
      <c r="AF21" s="30"/>
      <c r="AG21" s="30"/>
      <c r="AH21" s="30"/>
      <c r="AI21" s="30"/>
    </row>
    <row r="22" spans="1:35">
      <c r="A22" s="7">
        <v>15</v>
      </c>
      <c r="B22" s="10" t="s">
        <v>19</v>
      </c>
      <c r="C22" s="29">
        <v>3000</v>
      </c>
      <c r="D22" s="29">
        <f>'0701'!D22+'0702'!D22+'0703'!D22</f>
        <v>532</v>
      </c>
      <c r="E22" s="29">
        <v>12</v>
      </c>
      <c r="F22" s="21">
        <v>1.018</v>
      </c>
      <c r="G22" s="23">
        <f>'0701'!G22+'0702'!G22+'0703'!G22</f>
        <v>19496736</v>
      </c>
      <c r="H22" s="29">
        <v>2500</v>
      </c>
      <c r="I22" s="29">
        <f>'0701'!I22+'0702'!I22+'0703'!I22</f>
        <v>9</v>
      </c>
      <c r="J22" s="29">
        <v>12</v>
      </c>
      <c r="K22" s="21">
        <v>1.018</v>
      </c>
      <c r="L22" s="23">
        <f>'0701'!L22+'0702'!L22+'0703'!L22</f>
        <v>274860</v>
      </c>
      <c r="M22" s="29">
        <v>2200</v>
      </c>
      <c r="N22" s="29">
        <f>'0701'!N22+'0702'!N22+'0703'!N22</f>
        <v>7</v>
      </c>
      <c r="O22" s="29">
        <v>12</v>
      </c>
      <c r="P22" s="21">
        <v>1.018</v>
      </c>
      <c r="Q22" s="23">
        <f>'0701'!Q22+'0702'!Q22+'0703'!Q22</f>
        <v>188126.4</v>
      </c>
      <c r="R22" s="25">
        <f>'0701'!R22+'0702'!R22+'0703'!R22</f>
        <v>19959722</v>
      </c>
      <c r="S22" s="9">
        <f>'0701'!S22+'0702'!S22+'0703'!S22</f>
        <v>18961736</v>
      </c>
      <c r="T22" s="9">
        <f>'0701'!T22+'0702'!T22+'0703'!T22</f>
        <v>997986</v>
      </c>
      <c r="U22" s="25">
        <f>'0701'!U22+'0702'!U22+'0703'!U22</f>
        <v>19959722</v>
      </c>
      <c r="V22" s="9">
        <f>'0701'!V22+'0702'!V22+'0703'!V22</f>
        <v>18961736</v>
      </c>
      <c r="W22" s="9">
        <f>'0701'!W22+'0702'!W22+'0703'!Z22</f>
        <v>997986</v>
      </c>
      <c r="X22" s="25">
        <f>'0701'!X22+'0702'!X22+'0703'!X22</f>
        <v>19959722</v>
      </c>
      <c r="Y22" s="9">
        <f>'0701'!Y22+'0702'!Y22+'0703'!AA22</f>
        <v>18765061</v>
      </c>
      <c r="Z22" s="9">
        <f>'0701'!Z22+'0702'!Z22+'0703'!Z22</f>
        <v>997986</v>
      </c>
      <c r="AA22" s="9">
        <f>'0701'!AA22+'0702'!AA22+'0703'!AA22</f>
        <v>11371434</v>
      </c>
      <c r="AB22" s="9">
        <f>'0701'!AB22+'0702'!AB22+'0703'!AB22</f>
        <v>11371434</v>
      </c>
      <c r="AC22" s="9">
        <f>'0701'!AC22+'0702'!AC22+'0703'!AC22</f>
        <v>11371434</v>
      </c>
      <c r="AD22" s="30"/>
      <c r="AE22" s="30"/>
      <c r="AF22" s="30"/>
      <c r="AG22" s="30"/>
      <c r="AH22" s="30"/>
      <c r="AI22" s="30"/>
    </row>
    <row r="23" spans="1:35">
      <c r="A23" s="7">
        <v>16</v>
      </c>
      <c r="B23" s="10" t="s">
        <v>20</v>
      </c>
      <c r="C23" s="29">
        <v>3000</v>
      </c>
      <c r="D23" s="29">
        <f>'0701'!D23+'0702'!D23+'0703'!D23</f>
        <v>447</v>
      </c>
      <c r="E23" s="29">
        <v>12</v>
      </c>
      <c r="F23" s="21">
        <v>1.018</v>
      </c>
      <c r="G23" s="23">
        <f>'0701'!G23+'0702'!G23+'0703'!G23</f>
        <v>16381656</v>
      </c>
      <c r="H23" s="29">
        <v>2500</v>
      </c>
      <c r="I23" s="29">
        <f>'0701'!I23+'0702'!I23+'0703'!I23</f>
        <v>7</v>
      </c>
      <c r="J23" s="29">
        <v>12</v>
      </c>
      <c r="K23" s="21">
        <v>1.018</v>
      </c>
      <c r="L23" s="23">
        <f>'0701'!L23+'0702'!L23+'0703'!L23</f>
        <v>213780</v>
      </c>
      <c r="M23" s="29">
        <v>2200</v>
      </c>
      <c r="N23" s="29">
        <f>'0701'!N23+'0702'!N23+'0703'!N23</f>
        <v>8</v>
      </c>
      <c r="O23" s="29">
        <v>12</v>
      </c>
      <c r="P23" s="21">
        <v>1.018</v>
      </c>
      <c r="Q23" s="23">
        <f>'0701'!Q23+'0702'!Q23+'0703'!Q23</f>
        <v>215001.60000000001</v>
      </c>
      <c r="R23" s="25">
        <f>'0701'!R23+'0702'!R23+'0703'!R23</f>
        <v>16810438</v>
      </c>
      <c r="S23" s="9">
        <f>'0701'!S23+'0702'!S23+'0703'!S23</f>
        <v>15969916</v>
      </c>
      <c r="T23" s="9">
        <f>'0701'!T23+'0702'!T23+'0703'!T23</f>
        <v>840522</v>
      </c>
      <c r="U23" s="25">
        <f>'0701'!U23+'0702'!U23+'0703'!U23</f>
        <v>16810438</v>
      </c>
      <c r="V23" s="9">
        <f>'0701'!V23+'0702'!V23+'0703'!V23</f>
        <v>15969916</v>
      </c>
      <c r="W23" s="9">
        <f>'0701'!W23+'0702'!W23+'0703'!Z23</f>
        <v>840522</v>
      </c>
      <c r="X23" s="25">
        <f>'0701'!X23+'0702'!X23+'0703'!X23</f>
        <v>16810438</v>
      </c>
      <c r="Y23" s="9">
        <f>'0701'!Y23+'0702'!Y23+'0703'!AA23</f>
        <v>15924530</v>
      </c>
      <c r="Z23" s="9">
        <f>'0701'!Z23+'0702'!Z23+'0703'!Z23</f>
        <v>840522</v>
      </c>
      <c r="AA23" s="9">
        <f>'0701'!AA23+'0702'!AA23+'0703'!AA23</f>
        <v>9575793</v>
      </c>
      <c r="AB23" s="9">
        <f>'0701'!AB23+'0702'!AB23+'0703'!AB23</f>
        <v>9575793</v>
      </c>
      <c r="AC23" s="9">
        <f>'0701'!AC23+'0702'!AC23+'0703'!AC23</f>
        <v>9575793</v>
      </c>
      <c r="AD23" s="30"/>
      <c r="AE23" s="30"/>
      <c r="AF23" s="30"/>
      <c r="AG23" s="30"/>
      <c r="AH23" s="30"/>
      <c r="AI23" s="30"/>
    </row>
    <row r="24" spans="1:35">
      <c r="A24" s="7">
        <v>17</v>
      </c>
      <c r="B24" s="10" t="s">
        <v>21</v>
      </c>
      <c r="C24" s="29">
        <v>3000</v>
      </c>
      <c r="D24" s="29">
        <f>'0701'!D24+'0702'!D24+'0703'!D24</f>
        <v>592</v>
      </c>
      <c r="E24" s="29">
        <v>12</v>
      </c>
      <c r="F24" s="21">
        <v>1.018</v>
      </c>
      <c r="G24" s="23">
        <f>'0701'!G24+'0702'!G24+'0703'!G24</f>
        <v>21695616</v>
      </c>
      <c r="H24" s="29">
        <v>2500</v>
      </c>
      <c r="I24" s="29">
        <f>'0701'!I24+'0702'!I24+'0703'!I24</f>
        <v>16</v>
      </c>
      <c r="J24" s="29">
        <v>12</v>
      </c>
      <c r="K24" s="21">
        <v>1.018</v>
      </c>
      <c r="L24" s="23">
        <f>'0701'!L24+'0702'!L24+'0703'!L24</f>
        <v>488640</v>
      </c>
      <c r="M24" s="29">
        <v>2200</v>
      </c>
      <c r="N24" s="29">
        <f>'0701'!N24+'0702'!N24+'0703'!N24</f>
        <v>8</v>
      </c>
      <c r="O24" s="29">
        <v>12</v>
      </c>
      <c r="P24" s="21">
        <v>1.018</v>
      </c>
      <c r="Q24" s="23">
        <f>'0701'!Q24+'0702'!Q24+'0703'!Q24</f>
        <v>215001.60000000001</v>
      </c>
      <c r="R24" s="25">
        <f>'0701'!R24+'0702'!R24+'0703'!R24</f>
        <v>22399258</v>
      </c>
      <c r="S24" s="9">
        <f>'0701'!S24+'0702'!S24+'0703'!S24</f>
        <v>21279296</v>
      </c>
      <c r="T24" s="9">
        <f>'0701'!T24+'0702'!T24+'0703'!T24</f>
        <v>1119962</v>
      </c>
      <c r="U24" s="25">
        <f>'0701'!U24+'0702'!U24+'0703'!U24</f>
        <v>22399258</v>
      </c>
      <c r="V24" s="9">
        <f>'0701'!V24+'0702'!V24+'0703'!V24</f>
        <v>21279296</v>
      </c>
      <c r="W24" s="9">
        <f>'0701'!W24+'0702'!W24+'0703'!Z24</f>
        <v>1119962</v>
      </c>
      <c r="X24" s="25">
        <f>'0701'!X24+'0702'!X24+'0703'!X24</f>
        <v>22399258</v>
      </c>
      <c r="Y24" s="9">
        <f>'0701'!Y24+'0702'!Y24+'0703'!AA24</f>
        <v>21158266</v>
      </c>
      <c r="Z24" s="9">
        <f>'0701'!Z24+'0702'!Z24+'0703'!Z24</f>
        <v>1119962</v>
      </c>
      <c r="AA24" s="9">
        <f>'0701'!AA24+'0702'!AA24+'0703'!AA24</f>
        <v>12788708</v>
      </c>
      <c r="AB24" s="9">
        <f>'0701'!AB24+'0702'!AB24+'0703'!AB24</f>
        <v>12788708</v>
      </c>
      <c r="AC24" s="9">
        <f>'0701'!AC24+'0702'!AC24+'0703'!AC24</f>
        <v>12788708</v>
      </c>
      <c r="AD24" s="30"/>
      <c r="AE24" s="30"/>
      <c r="AF24" s="30"/>
      <c r="AG24" s="30"/>
      <c r="AH24" s="30"/>
      <c r="AI24" s="30"/>
    </row>
    <row r="25" spans="1:35">
      <c r="A25" s="7">
        <v>18</v>
      </c>
      <c r="B25" s="10" t="s">
        <v>22</v>
      </c>
      <c r="C25" s="29">
        <v>3000</v>
      </c>
      <c r="D25" s="29">
        <f>'0701'!D25+'0702'!D25+'0703'!D25</f>
        <v>369</v>
      </c>
      <c r="E25" s="29">
        <v>12</v>
      </c>
      <c r="F25" s="21">
        <v>1.018</v>
      </c>
      <c r="G25" s="23">
        <f>'0701'!G25+'0702'!G25+'0703'!G25</f>
        <v>13523112</v>
      </c>
      <c r="H25" s="29">
        <v>2500</v>
      </c>
      <c r="I25" s="29">
        <f>'0701'!I25+'0702'!I25+'0703'!I25</f>
        <v>8</v>
      </c>
      <c r="J25" s="29">
        <v>12</v>
      </c>
      <c r="K25" s="21">
        <v>1.018</v>
      </c>
      <c r="L25" s="23">
        <f>'0701'!L25+'0702'!L25+'0703'!L25</f>
        <v>244320</v>
      </c>
      <c r="M25" s="29">
        <v>2200</v>
      </c>
      <c r="N25" s="29">
        <f>'0701'!N25+'0702'!N25+'0703'!N25</f>
        <v>5</v>
      </c>
      <c r="O25" s="29">
        <v>12</v>
      </c>
      <c r="P25" s="21">
        <v>1.018</v>
      </c>
      <c r="Q25" s="23">
        <f>'0701'!Q25+'0702'!Q25+'0703'!Q25</f>
        <v>134376</v>
      </c>
      <c r="R25" s="25">
        <f>'0701'!R25+'0702'!R25+'0703'!R25</f>
        <v>13901808</v>
      </c>
      <c r="S25" s="9">
        <f>'0701'!S25+'0702'!S25+'0703'!S25</f>
        <v>13206718</v>
      </c>
      <c r="T25" s="9">
        <f>'0701'!T25+'0702'!T25+'0703'!T25</f>
        <v>695090</v>
      </c>
      <c r="U25" s="25">
        <f>'0701'!U25+'0702'!U25+'0703'!U25</f>
        <v>13901808</v>
      </c>
      <c r="V25" s="9">
        <f>'0701'!V25+'0702'!V25+'0703'!V25</f>
        <v>13206718</v>
      </c>
      <c r="W25" s="9">
        <f>'0701'!W25+'0702'!W25+'0703'!Z25</f>
        <v>695090</v>
      </c>
      <c r="X25" s="25">
        <f>'0701'!X25+'0702'!X25+'0703'!X25</f>
        <v>13901808</v>
      </c>
      <c r="Y25" s="9">
        <f>'0701'!Y25+'0702'!Y25+'0703'!AA25</f>
        <v>13040301</v>
      </c>
      <c r="Z25" s="9">
        <f>'0701'!Z25+'0702'!Z25+'0703'!Z25</f>
        <v>695090</v>
      </c>
      <c r="AA25" s="9">
        <f>'0701'!AA25+'0702'!AA25+'0703'!AA25</f>
        <v>7923162</v>
      </c>
      <c r="AB25" s="9">
        <f>'0701'!AB25+'0702'!AB25+'0703'!AB25</f>
        <v>7923162</v>
      </c>
      <c r="AC25" s="9">
        <f>'0701'!AC25+'0702'!AC25+'0703'!AC25</f>
        <v>7923162</v>
      </c>
      <c r="AD25" s="30"/>
      <c r="AE25" s="30"/>
      <c r="AF25" s="30"/>
      <c r="AG25" s="30"/>
      <c r="AH25" s="30"/>
      <c r="AI25" s="30"/>
    </row>
    <row r="26" spans="1:35">
      <c r="A26" s="7">
        <v>19</v>
      </c>
      <c r="B26" s="10" t="s">
        <v>23</v>
      </c>
      <c r="C26" s="29">
        <v>3000</v>
      </c>
      <c r="D26" s="29">
        <f>'0701'!D26+'0702'!D26+'0703'!D26</f>
        <v>473</v>
      </c>
      <c r="E26" s="29">
        <v>12</v>
      </c>
      <c r="F26" s="21">
        <v>1.018</v>
      </c>
      <c r="G26" s="23">
        <f>'0701'!G26+'0702'!G26+'0703'!G26</f>
        <v>17334504</v>
      </c>
      <c r="H26" s="29">
        <v>2500</v>
      </c>
      <c r="I26" s="29">
        <f>'0701'!I26+'0702'!I26+'0703'!I26</f>
        <v>5</v>
      </c>
      <c r="J26" s="29">
        <v>12</v>
      </c>
      <c r="K26" s="21">
        <v>1.018</v>
      </c>
      <c r="L26" s="23">
        <f>'0701'!L26+'0702'!L26+'0703'!L26</f>
        <v>152700</v>
      </c>
      <c r="M26" s="29">
        <v>2200</v>
      </c>
      <c r="N26" s="29">
        <f>'0701'!N26+'0702'!N26+'0703'!N26</f>
        <v>0</v>
      </c>
      <c r="O26" s="29">
        <v>12</v>
      </c>
      <c r="P26" s="21">
        <v>1.018</v>
      </c>
      <c r="Q26" s="23">
        <f>'0701'!Q26+'0702'!Q26+'0703'!Q26</f>
        <v>0</v>
      </c>
      <c r="R26" s="25">
        <f>'0701'!R26+'0702'!R26+'0703'!R26</f>
        <v>17487204</v>
      </c>
      <c r="S26" s="9">
        <f>'0701'!S26+'0702'!S26+'0703'!S26</f>
        <v>16612844</v>
      </c>
      <c r="T26" s="9">
        <f>'0701'!T26+'0702'!T26+'0703'!T26</f>
        <v>874360</v>
      </c>
      <c r="U26" s="25">
        <f>'0701'!U26+'0702'!U26+'0703'!U26</f>
        <v>17487204</v>
      </c>
      <c r="V26" s="9">
        <f>'0701'!V26+'0702'!V26+'0703'!V26</f>
        <v>16612844</v>
      </c>
      <c r="W26" s="9">
        <f>'0701'!W26+'0702'!W26+'0703'!Z26</f>
        <v>874360</v>
      </c>
      <c r="X26" s="25">
        <f>'0701'!X26+'0702'!X26+'0703'!X26</f>
        <v>17487204</v>
      </c>
      <c r="Y26" s="9">
        <f>'0701'!Y26+'0702'!Y26+'0703'!AA26</f>
        <v>16476685</v>
      </c>
      <c r="Z26" s="9">
        <f>'0701'!Z26+'0702'!Z26+'0703'!Z26</f>
        <v>874360</v>
      </c>
      <c r="AA26" s="9">
        <f>'0701'!AA26+'0702'!AA26+'0703'!AA26</f>
        <v>9979265</v>
      </c>
      <c r="AB26" s="9">
        <f>'0701'!AB26+'0702'!AB26+'0703'!AB26</f>
        <v>9979265</v>
      </c>
      <c r="AC26" s="9">
        <f>'0701'!AC26+'0702'!AC26+'0703'!AC26</f>
        <v>9979265</v>
      </c>
      <c r="AD26" s="30"/>
      <c r="AE26" s="30"/>
      <c r="AF26" s="30"/>
      <c r="AG26" s="30"/>
      <c r="AH26" s="30"/>
      <c r="AI26" s="30"/>
    </row>
    <row r="27" spans="1:35">
      <c r="A27" s="7">
        <v>20</v>
      </c>
      <c r="B27" s="10" t="s">
        <v>24</v>
      </c>
      <c r="C27" s="29">
        <v>3000</v>
      </c>
      <c r="D27" s="29">
        <f>'0701'!D27+'0702'!D27+'0703'!D27</f>
        <v>482</v>
      </c>
      <c r="E27" s="29">
        <v>12</v>
      </c>
      <c r="F27" s="21">
        <v>1.018</v>
      </c>
      <c r="G27" s="23">
        <f>'0701'!G27+'0702'!G27+'0703'!G27</f>
        <v>17664336</v>
      </c>
      <c r="H27" s="29">
        <v>2500</v>
      </c>
      <c r="I27" s="29">
        <f>'0701'!I27+'0702'!I27+'0703'!I27</f>
        <v>5</v>
      </c>
      <c r="J27" s="29">
        <v>12</v>
      </c>
      <c r="K27" s="21">
        <v>1.018</v>
      </c>
      <c r="L27" s="23">
        <f>'0701'!L27+'0702'!L27+'0703'!L27</f>
        <v>152700</v>
      </c>
      <c r="M27" s="29">
        <v>2200</v>
      </c>
      <c r="N27" s="29">
        <f>'0701'!N27+'0702'!N27+'0703'!N27</f>
        <v>7</v>
      </c>
      <c r="O27" s="29">
        <v>12</v>
      </c>
      <c r="P27" s="21">
        <v>1.018</v>
      </c>
      <c r="Q27" s="23">
        <f>'0701'!Q27+'0702'!Q27+'0703'!Q27</f>
        <v>188126.4</v>
      </c>
      <c r="R27" s="25">
        <f>'0701'!R27+'0702'!R27+'0703'!R27</f>
        <v>18005162</v>
      </c>
      <c r="S27" s="9">
        <f>'0701'!S27+'0702'!S27+'0703'!S27</f>
        <v>17104903</v>
      </c>
      <c r="T27" s="9">
        <f>'0701'!T27+'0702'!T27+'0703'!T27</f>
        <v>900259</v>
      </c>
      <c r="U27" s="25">
        <f>'0701'!U27+'0702'!U27+'0703'!U27</f>
        <v>18005162</v>
      </c>
      <c r="V27" s="9">
        <f>'0701'!V27+'0702'!V27+'0703'!V27</f>
        <v>17104903</v>
      </c>
      <c r="W27" s="9">
        <f>'0701'!W27+'0702'!W27+'0703'!Z27</f>
        <v>900259</v>
      </c>
      <c r="X27" s="25">
        <f>'0701'!X27+'0702'!X27+'0703'!X27</f>
        <v>18005162</v>
      </c>
      <c r="Y27" s="9">
        <f>'0701'!Y27+'0702'!Y27+'0703'!AA27</f>
        <v>17104903</v>
      </c>
      <c r="Z27" s="9">
        <f>'0701'!Z27+'0702'!Z27+'0703'!Z27</f>
        <v>900259</v>
      </c>
      <c r="AA27" s="9">
        <f>'0701'!AA27+'0702'!AA27+'0703'!AA27</f>
        <v>10276667</v>
      </c>
      <c r="AB27" s="9">
        <f>'0701'!AB27+'0702'!AB27+'0703'!AB27</f>
        <v>10276667</v>
      </c>
      <c r="AC27" s="9">
        <f>'0701'!AC27+'0702'!AC27+'0703'!AC27</f>
        <v>10276667</v>
      </c>
      <c r="AD27" s="30"/>
      <c r="AE27" s="30"/>
      <c r="AF27" s="30"/>
      <c r="AG27" s="30"/>
      <c r="AH27" s="30"/>
      <c r="AI27" s="30"/>
    </row>
    <row r="28" spans="1:35">
      <c r="A28" s="7">
        <v>21</v>
      </c>
      <c r="B28" s="10" t="s">
        <v>25</v>
      </c>
      <c r="C28" s="29">
        <v>3000</v>
      </c>
      <c r="D28" s="29">
        <f>'0701'!D28+'0702'!D28+'0703'!D28</f>
        <v>462</v>
      </c>
      <c r="E28" s="29">
        <v>12</v>
      </c>
      <c r="F28" s="21">
        <v>1.018</v>
      </c>
      <c r="G28" s="23">
        <f>'0701'!G28+'0702'!G28+'0703'!G28</f>
        <v>16931376</v>
      </c>
      <c r="H28" s="29">
        <v>2500</v>
      </c>
      <c r="I28" s="29">
        <f>'0701'!I28+'0702'!I28+'0703'!I28</f>
        <v>8</v>
      </c>
      <c r="J28" s="29">
        <v>12</v>
      </c>
      <c r="K28" s="21">
        <v>1.018</v>
      </c>
      <c r="L28" s="23">
        <f>'0701'!L28+'0702'!L28+'0703'!L28</f>
        <v>244320</v>
      </c>
      <c r="M28" s="29">
        <v>2200</v>
      </c>
      <c r="N28" s="29">
        <f>'0701'!N28+'0702'!N28+'0703'!N28</f>
        <v>3</v>
      </c>
      <c r="O28" s="29">
        <v>12</v>
      </c>
      <c r="P28" s="21">
        <v>1.018</v>
      </c>
      <c r="Q28" s="23">
        <f>'0701'!Q28+'0702'!Q28+'0703'!Q28</f>
        <v>80625.600000000006</v>
      </c>
      <c r="R28" s="25">
        <f>'0701'!R28+'0702'!R28+'0703'!R28</f>
        <v>17256322</v>
      </c>
      <c r="S28" s="9">
        <f>'0701'!S28+'0702'!S28+'0703'!S28</f>
        <v>16393505</v>
      </c>
      <c r="T28" s="9">
        <f>'0701'!T28+'0702'!T28+'0703'!T28</f>
        <v>862817</v>
      </c>
      <c r="U28" s="25">
        <f>'0701'!U28+'0702'!U28+'0703'!U28</f>
        <v>17256322</v>
      </c>
      <c r="V28" s="9">
        <f>'0701'!V28+'0702'!V28+'0703'!V28</f>
        <v>16393505</v>
      </c>
      <c r="W28" s="9">
        <f>'0701'!W28+'0702'!W28+'0703'!Z28</f>
        <v>862817</v>
      </c>
      <c r="X28" s="25">
        <f>'0701'!X28+'0702'!X28+'0703'!X28</f>
        <v>17256322</v>
      </c>
      <c r="Y28" s="9">
        <f>'0701'!Y28+'0702'!Y28+'0703'!AA28</f>
        <v>16106058</v>
      </c>
      <c r="Z28" s="9">
        <f>'0701'!Z28+'0702'!Z28+'0703'!Z28</f>
        <v>862817</v>
      </c>
      <c r="AA28" s="9">
        <f>'0701'!AA28+'0702'!AA28+'0703'!AA28</f>
        <v>9817640</v>
      </c>
      <c r="AB28" s="9">
        <f>'0701'!AB28+'0702'!AB28+'0703'!AB28</f>
        <v>9817640</v>
      </c>
      <c r="AC28" s="9">
        <f>'0701'!AC28+'0702'!AC28+'0703'!AC28</f>
        <v>9817640</v>
      </c>
      <c r="AD28" s="30"/>
      <c r="AE28" s="30"/>
      <c r="AF28" s="30"/>
      <c r="AG28" s="30"/>
      <c r="AH28" s="30"/>
      <c r="AI28" s="30"/>
    </row>
    <row r="29" spans="1:35">
      <c r="A29" s="7">
        <v>22</v>
      </c>
      <c r="B29" s="10" t="s">
        <v>26</v>
      </c>
      <c r="C29" s="29">
        <v>3000</v>
      </c>
      <c r="D29" s="29">
        <f>'0701'!D29+'0702'!D29+'0703'!D29</f>
        <v>404</v>
      </c>
      <c r="E29" s="29">
        <v>12</v>
      </c>
      <c r="F29" s="21">
        <v>1.018</v>
      </c>
      <c r="G29" s="23">
        <f>'0701'!G29+'0702'!G29+'0703'!G29</f>
        <v>14805792</v>
      </c>
      <c r="H29" s="29">
        <v>2500</v>
      </c>
      <c r="I29" s="29">
        <f>'0701'!I29+'0702'!I29+'0703'!I29</f>
        <v>3</v>
      </c>
      <c r="J29" s="29">
        <v>12</v>
      </c>
      <c r="K29" s="21">
        <v>1.018</v>
      </c>
      <c r="L29" s="23">
        <f>'0701'!L29+'0702'!L29+'0703'!L29</f>
        <v>91620</v>
      </c>
      <c r="M29" s="29">
        <v>2200</v>
      </c>
      <c r="N29" s="29">
        <f>'0701'!N29+'0702'!N29+'0703'!N29</f>
        <v>0</v>
      </c>
      <c r="O29" s="29">
        <v>12</v>
      </c>
      <c r="P29" s="21">
        <v>1.018</v>
      </c>
      <c r="Q29" s="23">
        <f>'0701'!Q29+'0702'!Q29+'0703'!Q29</f>
        <v>0</v>
      </c>
      <c r="R29" s="25">
        <f>'0701'!R29+'0702'!R29+'0703'!R29</f>
        <v>14897412</v>
      </c>
      <c r="S29" s="9">
        <f>'0701'!S29+'0702'!S29+'0703'!S29</f>
        <v>14152541</v>
      </c>
      <c r="T29" s="9">
        <f>'0701'!T29+'0702'!T29+'0703'!T29</f>
        <v>744871</v>
      </c>
      <c r="U29" s="25">
        <f>'0701'!U29+'0702'!U29+'0703'!U29</f>
        <v>14897412</v>
      </c>
      <c r="V29" s="9">
        <f>'0701'!V29+'0702'!V29+'0703'!V29</f>
        <v>14152541</v>
      </c>
      <c r="W29" s="9">
        <f>'0701'!W29+'0702'!W29+'0703'!Z29</f>
        <v>744871</v>
      </c>
      <c r="X29" s="25">
        <f>'0701'!X29+'0702'!X29+'0703'!X29</f>
        <v>14897412</v>
      </c>
      <c r="Y29" s="9">
        <f>'0701'!Y29+'0702'!Y29+'0703'!AA29</f>
        <v>14001253</v>
      </c>
      <c r="Z29" s="9">
        <f>'0701'!Z29+'0702'!Z29+'0703'!Z29</f>
        <v>744871</v>
      </c>
      <c r="AA29" s="9">
        <f>'0701'!AA29+'0702'!AA29+'0703'!AA29</f>
        <v>8486288</v>
      </c>
      <c r="AB29" s="9">
        <f>'0701'!AB29+'0702'!AB29+'0703'!AB29</f>
        <v>8486288</v>
      </c>
      <c r="AC29" s="9">
        <f>'0701'!AC29+'0702'!AC29+'0703'!AC29</f>
        <v>8486288</v>
      </c>
      <c r="AD29" s="30"/>
      <c r="AE29" s="30"/>
      <c r="AF29" s="30"/>
      <c r="AG29" s="30"/>
      <c r="AH29" s="30"/>
      <c r="AI29" s="30"/>
    </row>
    <row r="30" spans="1:35">
      <c r="A30" s="7">
        <v>23</v>
      </c>
      <c r="B30" s="10" t="s">
        <v>27</v>
      </c>
      <c r="C30" s="29">
        <v>3000</v>
      </c>
      <c r="D30" s="29">
        <f>'0701'!D30+'0702'!D30+'0703'!D30</f>
        <v>522</v>
      </c>
      <c r="E30" s="29">
        <v>12</v>
      </c>
      <c r="F30" s="21">
        <v>1.018</v>
      </c>
      <c r="G30" s="23">
        <f>'0701'!G30+'0702'!G30+'0703'!G30</f>
        <v>19130256</v>
      </c>
      <c r="H30" s="29">
        <v>2500</v>
      </c>
      <c r="I30" s="29">
        <f>'0701'!I30+'0702'!I30+'0703'!I30</f>
        <v>10</v>
      </c>
      <c r="J30" s="29">
        <v>12</v>
      </c>
      <c r="K30" s="21">
        <v>1.018</v>
      </c>
      <c r="L30" s="23">
        <f>'0701'!L30+'0702'!L30+'0703'!L30</f>
        <v>305400</v>
      </c>
      <c r="M30" s="29">
        <v>2200</v>
      </c>
      <c r="N30" s="29">
        <f>'0701'!N30+'0702'!N30+'0703'!N30</f>
        <v>7</v>
      </c>
      <c r="O30" s="29">
        <v>12</v>
      </c>
      <c r="P30" s="21">
        <v>1.018</v>
      </c>
      <c r="Q30" s="23">
        <f>'0701'!Q30+'0702'!Q30+'0703'!Q30</f>
        <v>188126.4</v>
      </c>
      <c r="R30" s="25">
        <f>'0701'!R30+'0702'!R30+'0703'!R30</f>
        <v>19623782</v>
      </c>
      <c r="S30" s="9">
        <f>'0701'!S30+'0702'!S30+'0703'!S30</f>
        <v>18642593</v>
      </c>
      <c r="T30" s="9">
        <f>'0701'!T30+'0702'!T30+'0703'!T30</f>
        <v>981189</v>
      </c>
      <c r="U30" s="25">
        <f>'0701'!U30+'0702'!U30+'0703'!U30</f>
        <v>19623782</v>
      </c>
      <c r="V30" s="9">
        <f>'0701'!V30+'0702'!V30+'0703'!V30</f>
        <v>18642593</v>
      </c>
      <c r="W30" s="9">
        <f>'0701'!W30+'0702'!W30+'0703'!Z30</f>
        <v>981189</v>
      </c>
      <c r="X30" s="25">
        <f>'0701'!X30+'0702'!X30+'0703'!X30</f>
        <v>19623782</v>
      </c>
      <c r="Y30" s="9">
        <f>'0701'!Y30+'0702'!Y30+'0703'!AA30</f>
        <v>18642593</v>
      </c>
      <c r="Z30" s="9">
        <f>'0701'!Z30+'0702'!Z30+'0703'!Z30</f>
        <v>981189</v>
      </c>
      <c r="AA30" s="9">
        <f>'0701'!AA30+'0702'!AA30+'0703'!AA30</f>
        <v>11195697</v>
      </c>
      <c r="AB30" s="9">
        <f>'0701'!AB30+'0702'!AB30+'0703'!AB30</f>
        <v>11195697</v>
      </c>
      <c r="AC30" s="9">
        <f>'0701'!AC30+'0702'!AC30+'0703'!AC30</f>
        <v>11195697</v>
      </c>
      <c r="AD30" s="30"/>
      <c r="AE30" s="30"/>
      <c r="AF30" s="30"/>
      <c r="AG30" s="30"/>
      <c r="AH30" s="31"/>
      <c r="AI30" s="30"/>
    </row>
    <row r="31" spans="1:35">
      <c r="A31" s="7">
        <v>24</v>
      </c>
      <c r="B31" s="10" t="s">
        <v>28</v>
      </c>
      <c r="C31" s="29">
        <v>3000</v>
      </c>
      <c r="D31" s="29">
        <f>'0701'!D31+'0702'!D31+'0703'!D31</f>
        <v>362</v>
      </c>
      <c r="E31" s="29">
        <v>12</v>
      </c>
      <c r="F31" s="21">
        <v>1.018</v>
      </c>
      <c r="G31" s="23">
        <f>'0701'!G31+'0702'!G31+'0703'!G31</f>
        <v>13266576</v>
      </c>
      <c r="H31" s="29">
        <v>2500</v>
      </c>
      <c r="I31" s="29">
        <f>'0701'!I31+'0702'!I31+'0703'!I31</f>
        <v>2</v>
      </c>
      <c r="J31" s="29">
        <v>12</v>
      </c>
      <c r="K31" s="21">
        <v>1.018</v>
      </c>
      <c r="L31" s="23">
        <f>'0701'!L31+'0702'!L31+'0703'!L31</f>
        <v>61080</v>
      </c>
      <c r="M31" s="29">
        <v>2200</v>
      </c>
      <c r="N31" s="29">
        <f>'0701'!N31+'0702'!N31+'0703'!N31</f>
        <v>2</v>
      </c>
      <c r="O31" s="29">
        <v>12</v>
      </c>
      <c r="P31" s="21">
        <v>1.018</v>
      </c>
      <c r="Q31" s="23">
        <f>'0701'!Q31+'0702'!Q31+'0703'!Q31</f>
        <v>53750.400000000001</v>
      </c>
      <c r="R31" s="25">
        <f>'0701'!R31+'0702'!R31+'0703'!R31</f>
        <v>13381406</v>
      </c>
      <c r="S31" s="9">
        <f>'0701'!S31+'0702'!S31+'0703'!S31</f>
        <v>12712336</v>
      </c>
      <c r="T31" s="9">
        <f>'0701'!T31+'0702'!T31+'0703'!T31</f>
        <v>669070</v>
      </c>
      <c r="U31" s="25">
        <f>'0701'!U31+'0702'!U31+'0703'!U31</f>
        <v>13381406</v>
      </c>
      <c r="V31" s="9">
        <f>'0701'!V31+'0702'!V31+'0703'!V31</f>
        <v>12712336</v>
      </c>
      <c r="W31" s="9">
        <f>'0701'!W31+'0702'!W31+'0703'!Z31</f>
        <v>669070</v>
      </c>
      <c r="X31" s="25">
        <f>'0701'!X31+'0702'!X31+'0703'!X31</f>
        <v>13381406</v>
      </c>
      <c r="Y31" s="9">
        <f>'0701'!Y31+'0702'!Y31+'0703'!AA31</f>
        <v>12530790</v>
      </c>
      <c r="Z31" s="9">
        <f>'0701'!Z31+'0702'!Z31+'0703'!Z31</f>
        <v>669070</v>
      </c>
      <c r="AA31" s="9">
        <f>'0701'!AA31+'0702'!AA31+'0703'!AA31</f>
        <v>7616810</v>
      </c>
      <c r="AB31" s="9">
        <f>'0701'!AB31+'0702'!AB31+'0703'!AB31</f>
        <v>7616810</v>
      </c>
      <c r="AC31" s="9">
        <f>'0701'!AC31+'0702'!AC31+'0703'!AC31</f>
        <v>7616810</v>
      </c>
      <c r="AD31" s="30"/>
      <c r="AE31" s="30"/>
      <c r="AF31" s="30"/>
      <c r="AG31" s="30"/>
      <c r="AH31" s="30"/>
      <c r="AI31" s="31"/>
    </row>
    <row r="32" spans="1:35">
      <c r="A32" s="7">
        <v>25</v>
      </c>
      <c r="B32" s="10" t="s">
        <v>29</v>
      </c>
      <c r="C32" s="29">
        <v>3000</v>
      </c>
      <c r="D32" s="29">
        <f>'0701'!D32+'0702'!D32+'0703'!D32</f>
        <v>375</v>
      </c>
      <c r="E32" s="29">
        <v>12</v>
      </c>
      <c r="F32" s="21">
        <v>1.018</v>
      </c>
      <c r="G32" s="23">
        <f>'0701'!G32+'0702'!G32+'0703'!G32</f>
        <v>13743000</v>
      </c>
      <c r="H32" s="29">
        <v>2500</v>
      </c>
      <c r="I32" s="29">
        <f>'0701'!I32+'0702'!I32+'0703'!I32</f>
        <v>3</v>
      </c>
      <c r="J32" s="29">
        <v>12</v>
      </c>
      <c r="K32" s="21">
        <v>1.018</v>
      </c>
      <c r="L32" s="23">
        <f>'0701'!L32+'0702'!L32+'0703'!L32</f>
        <v>91620</v>
      </c>
      <c r="M32" s="29">
        <v>2200</v>
      </c>
      <c r="N32" s="29">
        <f>'0701'!N32+'0702'!N32+'0703'!N32</f>
        <v>3</v>
      </c>
      <c r="O32" s="29">
        <v>12</v>
      </c>
      <c r="P32" s="21">
        <v>1.018</v>
      </c>
      <c r="Q32" s="23">
        <f>'0701'!Q32+'0702'!Q32+'0703'!Q32</f>
        <v>80625.600000000006</v>
      </c>
      <c r="R32" s="25">
        <f>'0701'!R32+'0702'!R32+'0703'!R32</f>
        <v>13915246</v>
      </c>
      <c r="S32" s="9">
        <f>'0701'!S32+'0702'!S32+'0703'!S32</f>
        <v>13219484</v>
      </c>
      <c r="T32" s="9">
        <f>'0701'!T32+'0702'!T32+'0703'!T32</f>
        <v>695762</v>
      </c>
      <c r="U32" s="25">
        <f>'0701'!U32+'0702'!U32+'0703'!U32</f>
        <v>13915246</v>
      </c>
      <c r="V32" s="9">
        <f>'0701'!V32+'0702'!V32+'0703'!V32</f>
        <v>13219484</v>
      </c>
      <c r="W32" s="9">
        <f>'0701'!W32+'0702'!W32+'0703'!Z32</f>
        <v>695762</v>
      </c>
      <c r="X32" s="25">
        <f>'0701'!X32+'0702'!X32+'0703'!X32</f>
        <v>13915246</v>
      </c>
      <c r="Y32" s="9">
        <f>'0701'!Y32+'0702'!Y32+'0703'!AA32</f>
        <v>13113582</v>
      </c>
      <c r="Z32" s="9">
        <f>'0701'!Z32+'0702'!Z32+'0703'!Z32</f>
        <v>695762</v>
      </c>
      <c r="AA32" s="9">
        <f>'0701'!AA32+'0702'!AA32+'0703'!AA32</f>
        <v>7920801</v>
      </c>
      <c r="AB32" s="9">
        <f>'0701'!AB32+'0702'!AB32+'0703'!AB32</f>
        <v>7920801</v>
      </c>
      <c r="AC32" s="9">
        <f>'0701'!AC32+'0702'!AC32+'0703'!AC32</f>
        <v>7920801</v>
      </c>
      <c r="AD32" s="30"/>
      <c r="AE32" s="30"/>
      <c r="AF32" s="30"/>
      <c r="AG32" s="30"/>
      <c r="AH32" s="30"/>
      <c r="AI32" s="30"/>
    </row>
    <row r="33" spans="1:35">
      <c r="A33" s="7">
        <v>26</v>
      </c>
      <c r="B33" s="10" t="s">
        <v>30</v>
      </c>
      <c r="C33" s="29">
        <v>3000</v>
      </c>
      <c r="D33" s="29">
        <f>'0701'!D33+'0702'!D33+'0703'!D33</f>
        <v>347</v>
      </c>
      <c r="E33" s="29">
        <v>12</v>
      </c>
      <c r="F33" s="21">
        <v>1.018</v>
      </c>
      <c r="G33" s="23">
        <f>'0701'!G33+'0702'!G33+'0703'!G33</f>
        <v>12716856</v>
      </c>
      <c r="H33" s="29">
        <v>2500</v>
      </c>
      <c r="I33" s="29">
        <f>'0701'!I33+'0702'!I33+'0703'!I33</f>
        <v>4</v>
      </c>
      <c r="J33" s="29">
        <v>12</v>
      </c>
      <c r="K33" s="21">
        <v>1.018</v>
      </c>
      <c r="L33" s="23">
        <f>'0701'!L33+'0702'!L33+'0703'!L33</f>
        <v>122160</v>
      </c>
      <c r="M33" s="29">
        <v>2200</v>
      </c>
      <c r="N33" s="29">
        <f>'0701'!N33+'0702'!N33+'0703'!N33</f>
        <v>0</v>
      </c>
      <c r="O33" s="29">
        <v>12</v>
      </c>
      <c r="P33" s="21">
        <v>1.018</v>
      </c>
      <c r="Q33" s="23">
        <f>'0701'!Q33+'0702'!Q33+'0703'!Q33</f>
        <v>0</v>
      </c>
      <c r="R33" s="25">
        <f>'0701'!R33+'0702'!R33+'0703'!R33</f>
        <v>12839016</v>
      </c>
      <c r="S33" s="9">
        <f>'0701'!S33+'0702'!S33+'0703'!S33</f>
        <v>12197065</v>
      </c>
      <c r="T33" s="9">
        <f>'0701'!T33+'0702'!T33+'0703'!T33</f>
        <v>641951</v>
      </c>
      <c r="U33" s="25">
        <f>'0701'!U33+'0702'!U33+'0703'!U33</f>
        <v>12839016</v>
      </c>
      <c r="V33" s="9">
        <f>'0701'!V33+'0702'!V33+'0703'!V33</f>
        <v>12197065</v>
      </c>
      <c r="W33" s="9">
        <f>'0701'!W33+'0702'!W33+'0703'!Z33</f>
        <v>641951</v>
      </c>
      <c r="X33" s="25">
        <f>'0701'!X33+'0702'!X33+'0703'!X33</f>
        <v>12839016</v>
      </c>
      <c r="Y33" s="9">
        <f>'0701'!Y33+'0702'!Y33+'0703'!AA33</f>
        <v>11985262</v>
      </c>
      <c r="Z33" s="9">
        <f>'0701'!Z33+'0702'!Z33+'0703'!Z33</f>
        <v>641951</v>
      </c>
      <c r="AA33" s="9">
        <f>'0701'!AA33+'0702'!AA33+'0703'!AA33</f>
        <v>7308599</v>
      </c>
      <c r="AB33" s="9">
        <f>'0701'!AB33+'0702'!AB33+'0703'!AB33</f>
        <v>7308599</v>
      </c>
      <c r="AC33" s="9">
        <f>'0701'!AC33+'0702'!AC33+'0703'!AC33</f>
        <v>7308599</v>
      </c>
      <c r="AD33" s="30"/>
      <c r="AE33" s="30"/>
      <c r="AF33" s="30"/>
      <c r="AG33" s="30"/>
      <c r="AH33" s="30"/>
      <c r="AI33" s="30"/>
    </row>
    <row r="34" spans="1:35">
      <c r="A34" s="7">
        <v>27</v>
      </c>
      <c r="B34" s="10" t="s">
        <v>31</v>
      </c>
      <c r="C34" s="29">
        <v>3000</v>
      </c>
      <c r="D34" s="29">
        <f>'0701'!D34+'0702'!D34+'0703'!D34</f>
        <v>284</v>
      </c>
      <c r="E34" s="29">
        <v>12</v>
      </c>
      <c r="F34" s="21">
        <v>1.018</v>
      </c>
      <c r="G34" s="23">
        <f>'0701'!G34+'0702'!G34+'0703'!G34</f>
        <v>10408032</v>
      </c>
      <c r="H34" s="29">
        <v>2500</v>
      </c>
      <c r="I34" s="29">
        <f>'0701'!I34+'0702'!I34+'0703'!I34</f>
        <v>4</v>
      </c>
      <c r="J34" s="29">
        <v>12</v>
      </c>
      <c r="K34" s="21">
        <v>1.018</v>
      </c>
      <c r="L34" s="23">
        <f>'0701'!L34+'0702'!L34+'0703'!L34</f>
        <v>122160</v>
      </c>
      <c r="M34" s="29">
        <v>2200</v>
      </c>
      <c r="N34" s="29">
        <f>'0701'!N34+'0702'!N34+'0703'!N34</f>
        <v>0</v>
      </c>
      <c r="O34" s="29">
        <v>12</v>
      </c>
      <c r="P34" s="21">
        <v>1.018</v>
      </c>
      <c r="Q34" s="23">
        <f>'0701'!Q34+'0702'!Q34+'0703'!Q34</f>
        <v>0</v>
      </c>
      <c r="R34" s="25">
        <f>'0701'!R34+'0702'!R34+'0703'!R34</f>
        <v>10530192</v>
      </c>
      <c r="S34" s="9">
        <f>'0701'!S34+'0702'!S34+'0703'!S34</f>
        <v>10003682</v>
      </c>
      <c r="T34" s="9">
        <f>'0701'!T34+'0702'!T34+'0703'!T34</f>
        <v>526510</v>
      </c>
      <c r="U34" s="25">
        <f>'0701'!U34+'0702'!U34+'0703'!U34</f>
        <v>10530192</v>
      </c>
      <c r="V34" s="9">
        <f>'0701'!V34+'0702'!V34+'0703'!V34</f>
        <v>10003682</v>
      </c>
      <c r="W34" s="9">
        <f>'0701'!W34+'0702'!W34+'0703'!Z34</f>
        <v>526510</v>
      </c>
      <c r="X34" s="25">
        <f>'0701'!X34+'0702'!X34+'0703'!X34</f>
        <v>10530192</v>
      </c>
      <c r="Y34" s="9">
        <f>'0701'!Y34+'0702'!Y34+'0703'!AA34</f>
        <v>9852393</v>
      </c>
      <c r="Z34" s="9">
        <f>'0701'!Z34+'0702'!Z34+'0703'!Z34</f>
        <v>526510</v>
      </c>
      <c r="AA34" s="9">
        <f>'0701'!AA34+'0702'!AA34+'0703'!AA34</f>
        <v>6001490</v>
      </c>
      <c r="AB34" s="9">
        <f>'0701'!AB34+'0702'!AB34+'0703'!AB34</f>
        <v>6001490</v>
      </c>
      <c r="AC34" s="9">
        <f>'0701'!AC34+'0702'!AC34+'0703'!AC34</f>
        <v>6001490</v>
      </c>
      <c r="AD34" s="30"/>
      <c r="AE34" s="30"/>
      <c r="AF34" s="30"/>
      <c r="AG34" s="30"/>
      <c r="AH34" s="30"/>
      <c r="AI34" s="30"/>
    </row>
    <row r="35" spans="1:35">
      <c r="A35" s="7">
        <v>28</v>
      </c>
      <c r="B35" s="10" t="s">
        <v>32</v>
      </c>
      <c r="C35" s="29">
        <v>3000</v>
      </c>
      <c r="D35" s="29">
        <f>'0701'!D35+'0702'!D35+'0703'!D35</f>
        <v>393</v>
      </c>
      <c r="E35" s="29">
        <v>12</v>
      </c>
      <c r="F35" s="21">
        <v>1.018</v>
      </c>
      <c r="G35" s="23">
        <f>'0701'!G35+'0702'!G35+'0703'!G35</f>
        <v>14402664</v>
      </c>
      <c r="H35" s="29">
        <v>2500</v>
      </c>
      <c r="I35" s="29">
        <f>'0701'!I35+'0702'!I35+'0703'!I35</f>
        <v>1</v>
      </c>
      <c r="J35" s="29">
        <v>12</v>
      </c>
      <c r="K35" s="21">
        <v>1.018</v>
      </c>
      <c r="L35" s="23">
        <f>'0701'!L35+'0702'!L35+'0703'!L35</f>
        <v>30540</v>
      </c>
      <c r="M35" s="29">
        <v>2200</v>
      </c>
      <c r="N35" s="29">
        <f>'0701'!N35+'0702'!N35+'0703'!N35</f>
        <v>0</v>
      </c>
      <c r="O35" s="29">
        <v>12</v>
      </c>
      <c r="P35" s="21">
        <v>1.018</v>
      </c>
      <c r="Q35" s="23">
        <f>'0701'!Q35+'0702'!Q35+'0703'!Q35</f>
        <v>0</v>
      </c>
      <c r="R35" s="25">
        <f>'0701'!R35+'0702'!R35+'0703'!R35</f>
        <v>14433204</v>
      </c>
      <c r="S35" s="9">
        <f>'0701'!S35+'0702'!S35+'0703'!S35</f>
        <v>13711545</v>
      </c>
      <c r="T35" s="9">
        <f>'0701'!T35+'0702'!T35+'0703'!T35</f>
        <v>721659</v>
      </c>
      <c r="U35" s="25">
        <f>'0701'!U35+'0702'!U35+'0703'!U35</f>
        <v>14433204</v>
      </c>
      <c r="V35" s="9">
        <f>'0701'!V35+'0702'!V35+'0703'!V35</f>
        <v>13711545</v>
      </c>
      <c r="W35" s="9">
        <f>'0701'!W35+'0702'!W35+'0703'!Z35</f>
        <v>721659</v>
      </c>
      <c r="X35" s="25">
        <f>'0701'!X35+'0702'!X35+'0703'!X35</f>
        <v>14433204</v>
      </c>
      <c r="Y35" s="9">
        <f>'0701'!Y35+'0702'!Y35+'0703'!AA35</f>
        <v>13711545</v>
      </c>
      <c r="Z35" s="9">
        <f>'0701'!Z35+'0702'!Z35+'0703'!Z35</f>
        <v>721659</v>
      </c>
      <c r="AA35" s="9">
        <f>'0701'!AA35+'0702'!AA35+'0703'!AA35</f>
        <v>8213779</v>
      </c>
      <c r="AB35" s="9">
        <f>'0701'!AB35+'0702'!AB35+'0703'!AB35</f>
        <v>8213779</v>
      </c>
      <c r="AC35" s="9">
        <f>'0701'!AC35+'0702'!AC35+'0703'!AC35</f>
        <v>8213779</v>
      </c>
      <c r="AD35" s="30"/>
      <c r="AE35" s="30"/>
      <c r="AF35" s="30"/>
      <c r="AG35" s="30"/>
      <c r="AH35" s="30"/>
      <c r="AI35" s="30"/>
    </row>
    <row r="36" spans="1:35">
      <c r="A36" s="11"/>
      <c r="B36" s="12" t="s">
        <v>3</v>
      </c>
      <c r="C36" s="15">
        <v>3000</v>
      </c>
      <c r="D36" s="15">
        <f>D8+D9+D10+D11+D12+D13+D14+D15+D16+D17+D18+D19+D20+D21+D22+D23+D24+D25+D26+D27+D28+D29+D30+D31+D32+D33+D34+D35</f>
        <v>12560</v>
      </c>
      <c r="E36" s="15">
        <v>12</v>
      </c>
      <c r="F36" s="22">
        <v>1.018</v>
      </c>
      <c r="G36" s="14">
        <f>G8+G9+G10+G11+G12+G13+G14+G15+G16+G17+G18+G19+G20+G21+G22+G23+G24+G25+G26+G27+G28+G29+G30+G31+G32+G33+G34+G35</f>
        <v>460298880</v>
      </c>
      <c r="H36" s="15">
        <v>2500</v>
      </c>
      <c r="I36" s="15">
        <f>I8+I9+I10+I11+I12+I13+I14+I15+I16+I17+I18+I19+I20+I21+I22+I23+I24+I25+I26+I27+I28+I29+I30+I31+I32+I33+I34+I35</f>
        <v>174</v>
      </c>
      <c r="J36" s="15">
        <v>12</v>
      </c>
      <c r="K36" s="22">
        <v>1.018</v>
      </c>
      <c r="L36" s="14">
        <f>L8+L9+L10+L11+L12+L13+L14+L15+L16+L17+L18+L19+L20+L21+L22+L23+L24+L25+L26+L27+L28+L29+L30+L31+L32+L33+L34+L35</f>
        <v>5313960</v>
      </c>
      <c r="M36" s="15">
        <f>M8+M9+M10+M11+M12+M13+M14+M15+M16+M17+M18+M19+M20+M21+M22+M23+M24+M25+M26+M27+M28+M29+M30+M31+M32+M33+M34+M35</f>
        <v>61600</v>
      </c>
      <c r="N36" s="15">
        <f>N8+N9+N10+N11+N12+N13+N14+N15+N16+N17+N18+N19+N20+N21+N22+N23+N24+N25+N26+N27+N28+N29+N30+N31+N32+N33+N34+N35</f>
        <v>113</v>
      </c>
      <c r="O36" s="15">
        <v>12</v>
      </c>
      <c r="P36" s="22">
        <v>1.018</v>
      </c>
      <c r="Q36" s="14">
        <f>Q8+Q9+Q10+Q11+Q12+Q13+Q14+Q15+Q16+Q17+Q18+Q19+Q20+Q21+Q22+Q23+Q24+Q25+Q26+Q27+Q28+Q29+Q30+Q31+Q32+Q33+Q34+Q35</f>
        <v>3036897.6</v>
      </c>
      <c r="R36" s="13">
        <f>R8+R9+R10+R11+R12+R13+R14+R15+R16+R17+R18+R19+R20+R21+R22+R23+R24+R25+R26+R27+R28+R29+R30+R31+R32+R33+R34+R35</f>
        <v>468649739</v>
      </c>
      <c r="S36" s="13">
        <f>S8+S9+S10+S11+S12+S13+S14+S15+S16+S17+S18+S19+S20+S21+S22+S23+S24+S25+S26+S27+S28+S29+S30+S31+S32+S33+S34+S35</f>
        <v>445217252</v>
      </c>
      <c r="T36" s="13">
        <f>T8+T9+T10+T11+T12+T13+T14+T15+T16+T17+T18+T19+T20+T21+T22+T23+T24+T25+T26+T27+T28+T29+T30+T31+T32+T33+T34+T35</f>
        <v>23432487</v>
      </c>
      <c r="U36" s="13">
        <f t="shared" ref="U36:X36" si="0">U8+U9+U10+U11+U12+U13+U14+U15+U16+U17+U18+U19+U20+U21+U22+U23+U24+U25+U26+U27+U28+U29+U30+U31+U32+U33+U34+U35</f>
        <v>468649739</v>
      </c>
      <c r="V36" s="13">
        <f t="shared" si="0"/>
        <v>445217252</v>
      </c>
      <c r="W36" s="13">
        <f t="shared" si="0"/>
        <v>23432487</v>
      </c>
      <c r="X36" s="13">
        <f t="shared" si="0"/>
        <v>468649739</v>
      </c>
      <c r="Y36" s="16">
        <f>Y8+Y9+Y10+Y11+Y12+Y13+Y14+Y15+Y16+Y17+Y18+Y19+Y20+Y21+Y22+Y23+Y24+Y25+Y26+Y27+Y28+Y29+Y30+Y31+Y32+Y33+Y34+Y35</f>
        <v>440136495</v>
      </c>
      <c r="Z36" s="16">
        <f>Z8+Z9+Z10+Z11+Z12+Z13+Z14+Z15+Z16+Z17+Z18+Z19+Z20+Z21+Z22+Z23+Z24+Z25+Z26+Z27+Z28+Z29+Z30+Z31+Z32+Z33+Z34+Z35</f>
        <v>23432487</v>
      </c>
      <c r="AA36" s="16">
        <f>AA8+AA9+AA10+AA11+AA12+AA13+AA14+AA15+AA16+AA17+AA18+AA19+AA20+AA21+AA22+AA23+AA24+AA25+AA26+AA27+AA28+AA29+AA30+AA31+AA32+AA33+AA34+AA35</f>
        <v>267046794</v>
      </c>
      <c r="AB36" s="16">
        <f>AB8+AB9+AB10+AB11+AB12+AB13+AB14+AB15+AB16+AB17+AB18+AB19+AB20+AB21+AB22+AB23+AB24+AB25+AB26+AB27+AB28+AB29+AB30+AB31+AB32+AB33+AB34+AB35</f>
        <v>267046794</v>
      </c>
      <c r="AC36" s="16">
        <f>AC8+AC9+AC10+AC11+AC12+AC13+AC14+AC15+AC16+AC17+AC18+AC19+AC20+AC21+AC22+AC23+AC24+AC25+AC26+AC27+AC28+AC29+AC30+AC31+AC32+AC33+AC34+AC35</f>
        <v>267046794</v>
      </c>
      <c r="AD36" s="30"/>
      <c r="AE36" s="30"/>
      <c r="AF36" s="30"/>
      <c r="AG36" s="30"/>
      <c r="AH36" s="30"/>
      <c r="AI36" s="31"/>
    </row>
    <row r="37" spans="1:35">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'0701'!AA37+'0702'!AA37+'0703'!AA37+1</f>
        <v>14055094.426784489</v>
      </c>
      <c r="AB37" s="26">
        <f>'0701'!AB37+'0702'!AB37+'0703'!AB37+1</f>
        <v>14055094.426784489</v>
      </c>
      <c r="AC37" s="26">
        <f>'0701'!AC37+'0702'!AC37+'0703'!AC37+1</f>
        <v>14055094.426784489</v>
      </c>
      <c r="AD37" s="30"/>
      <c r="AE37" s="30"/>
      <c r="AF37" s="30"/>
      <c r="AG37" s="30"/>
      <c r="AH37" s="30"/>
      <c r="AI37" s="30"/>
    </row>
    <row r="38" spans="1:35">
      <c r="A38" s="17"/>
      <c r="B38" s="18" t="s">
        <v>4</v>
      </c>
      <c r="C38" s="18"/>
      <c r="D38" s="18"/>
      <c r="E38" s="18"/>
      <c r="F38" s="18"/>
      <c r="G38" s="18"/>
      <c r="H38" s="18"/>
      <c r="I38" s="18"/>
      <c r="J38" s="18"/>
      <c r="K38" s="18"/>
      <c r="L38" s="18"/>
      <c r="M38" s="18"/>
      <c r="N38" s="18"/>
      <c r="O38" s="18"/>
      <c r="P38" s="18"/>
      <c r="Q38" s="18"/>
      <c r="R38" s="27">
        <f t="shared" ref="R38:Z38" si="1">R36</f>
        <v>468649739</v>
      </c>
      <c r="S38" s="27">
        <f t="shared" si="1"/>
        <v>445217252</v>
      </c>
      <c r="T38" s="27">
        <f t="shared" si="1"/>
        <v>23432487</v>
      </c>
      <c r="U38" s="27">
        <f t="shared" si="1"/>
        <v>468649739</v>
      </c>
      <c r="V38" s="27">
        <f t="shared" si="1"/>
        <v>445217252</v>
      </c>
      <c r="W38" s="27">
        <f t="shared" si="1"/>
        <v>23432487</v>
      </c>
      <c r="X38" s="27">
        <f t="shared" si="1"/>
        <v>468649739</v>
      </c>
      <c r="Y38" s="27">
        <f t="shared" si="1"/>
        <v>440136495</v>
      </c>
      <c r="Z38" s="27">
        <f t="shared" si="1"/>
        <v>23432487</v>
      </c>
      <c r="AA38" s="26">
        <f t="shared" ref="AA38:AC38" si="2">AA36+AA37</f>
        <v>281101888.42678452</v>
      </c>
      <c r="AB38" s="26">
        <f t="shared" si="2"/>
        <v>281101888.42678452</v>
      </c>
      <c r="AC38" s="26">
        <f t="shared" si="2"/>
        <v>281101888.42678452</v>
      </c>
      <c r="AD38" s="30"/>
      <c r="AE38" s="30"/>
      <c r="AF38" s="30"/>
      <c r="AG38" s="30"/>
      <c r="AH38" s="30"/>
      <c r="AI38" s="30"/>
    </row>
    <row r="39" spans="1:35">
      <c r="AB39" s="20"/>
    </row>
    <row r="40" spans="1:35">
      <c r="W40" s="1" t="s">
        <v>51</v>
      </c>
      <c r="X40" s="32">
        <f>34452785+239689648+6959455</f>
        <v>281101888</v>
      </c>
      <c r="Y40" s="48" t="s">
        <v>52</v>
      </c>
      <c r="Z40" s="48"/>
      <c r="AA40" s="1">
        <f>X40/R38</f>
        <v>0.59981232167079046</v>
      </c>
      <c r="AB40" s="34"/>
    </row>
    <row r="41" spans="1:35" ht="12.75" customHeight="1">
      <c r="W41" s="1" t="s">
        <v>57</v>
      </c>
      <c r="X41" s="32">
        <f t="shared" ref="X41:X42" si="3">34452785+239689648+6959455</f>
        <v>281101888</v>
      </c>
      <c r="Y41" s="48" t="s">
        <v>58</v>
      </c>
      <c r="Z41" s="48"/>
      <c r="AA41" s="1">
        <f>X41/U38</f>
        <v>0.59981232167079046</v>
      </c>
      <c r="AB41" s="34"/>
    </row>
    <row r="42" spans="1:35">
      <c r="W42" s="1" t="s">
        <v>60</v>
      </c>
      <c r="X42" s="32">
        <f t="shared" si="3"/>
        <v>281101888</v>
      </c>
      <c r="Y42" s="48" t="s">
        <v>59</v>
      </c>
      <c r="Z42" s="48"/>
      <c r="AA42" s="1">
        <f>X42/X38</f>
        <v>0.59981232167079046</v>
      </c>
      <c r="AB42" s="33"/>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H2"/>
    <mergeCell ref="M4:Q4"/>
    <mergeCell ref="J5:J6"/>
    <mergeCell ref="K5:K6"/>
    <mergeCell ref="L5:L6"/>
    <mergeCell ref="M5:M6"/>
  </mergeCells>
  <pageMargins left="0.19685039370078741" right="0.19685039370078741" top="0.19685039370078741" bottom="0.19685039370078741" header="0" footer="0"/>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0701</vt:lpstr>
      <vt:lpstr>0702</vt:lpstr>
      <vt:lpstr>0703</vt:lpstr>
      <vt:lpstr>СВОД</vt:lpstr>
      <vt:lpstr>'0701'!Заголовки_для_печати</vt:lpstr>
      <vt:lpstr>'0702'!Заголовки_для_печати</vt:lpstr>
      <vt:lpstr>'0703'!Заголовки_для_печати</vt:lpstr>
      <vt:lpstr>СВОД!Заголовки_для_печати</vt:lpstr>
      <vt:lpstr>'0701'!Область_печати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Zvyagina_I</cp:lastModifiedBy>
  <cp:lastPrinted>2024-10-11T09:23:13Z</cp:lastPrinted>
  <dcterms:created xsi:type="dcterms:W3CDTF">1996-10-08T23:32:33Z</dcterms:created>
  <dcterms:modified xsi:type="dcterms:W3CDTF">2024-10-11T09:23:33Z</dcterms:modified>
</cp:coreProperties>
</file>