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20" yWindow="-120" windowWidth="19440" windowHeight="11760"/>
  </bookViews>
  <sheets>
    <sheet name="тарифы 2026" sheetId="16" r:id="rId1"/>
    <sheet name="на 18.06.2025" sheetId="13" state="hidden" r:id="rId2"/>
  </sheets>
  <definedNames>
    <definedName name="_xlnm._FilterDatabase" localSheetId="0" hidden="1">'тарифы 2026'!$B$2:$B$195</definedName>
  </definedNames>
  <calcPr calcId="162913"/>
</workbook>
</file>

<file path=xl/calcChain.xml><?xml version="1.0" encoding="utf-8"?>
<calcChain xmlns="http://schemas.openxmlformats.org/spreadsheetml/2006/main">
  <c r="D226" i="13" l="1"/>
  <c r="K225" i="13"/>
  <c r="J225" i="13"/>
  <c r="I225" i="13"/>
  <c r="F225" i="13"/>
  <c r="I224" i="13"/>
  <c r="I226" i="13" s="1"/>
  <c r="H224" i="13"/>
  <c r="K224" i="13" s="1"/>
  <c r="F224" i="13"/>
  <c r="R218" i="13"/>
  <c r="S218" i="13" s="1"/>
  <c r="Q218" i="13"/>
  <c r="N218" i="13"/>
  <c r="K218" i="13"/>
  <c r="D218" i="13"/>
  <c r="J218" i="13" s="1"/>
  <c r="R217" i="13"/>
  <c r="Q217" i="13"/>
  <c r="N217" i="13"/>
  <c r="K217" i="13"/>
  <c r="J217" i="13"/>
  <c r="I217" i="13"/>
  <c r="F217" i="13"/>
  <c r="R216" i="13"/>
  <c r="Q216" i="13"/>
  <c r="N216" i="13"/>
  <c r="K216" i="13"/>
  <c r="D216" i="13"/>
  <c r="J216" i="13" s="1"/>
  <c r="R215" i="13"/>
  <c r="Q215" i="13"/>
  <c r="S215" i="13" s="1"/>
  <c r="N215" i="13"/>
  <c r="I215" i="13"/>
  <c r="H215" i="13"/>
  <c r="K215" i="13" s="1"/>
  <c r="F215" i="13"/>
  <c r="R214" i="13"/>
  <c r="Q214" i="13"/>
  <c r="N214" i="13"/>
  <c r="I214" i="13"/>
  <c r="H214" i="13"/>
  <c r="K214" i="13" s="1"/>
  <c r="F214" i="13"/>
  <c r="R213" i="13"/>
  <c r="Q213" i="13"/>
  <c r="N213" i="13"/>
  <c r="I213" i="13"/>
  <c r="H213" i="13"/>
  <c r="K213" i="13" s="1"/>
  <c r="F213" i="13"/>
  <c r="R212" i="13"/>
  <c r="Q212" i="13"/>
  <c r="N212" i="13"/>
  <c r="H212" i="13"/>
  <c r="K212" i="13" s="1"/>
  <c r="D212" i="13"/>
  <c r="I212" i="13" s="1"/>
  <c r="R211" i="13"/>
  <c r="Q211" i="13"/>
  <c r="N211" i="13"/>
  <c r="I211" i="13"/>
  <c r="H211" i="13"/>
  <c r="J211" i="13" s="1"/>
  <c r="F211" i="13"/>
  <c r="R210" i="13"/>
  <c r="Q210" i="13"/>
  <c r="N210" i="13"/>
  <c r="I210" i="13"/>
  <c r="H210" i="13"/>
  <c r="K210" i="13" s="1"/>
  <c r="F210" i="13"/>
  <c r="R209" i="13"/>
  <c r="Q209" i="13"/>
  <c r="S209" i="13" s="1"/>
  <c r="N209" i="13"/>
  <c r="I209" i="13"/>
  <c r="H209" i="13"/>
  <c r="K209" i="13" s="1"/>
  <c r="F209" i="13"/>
  <c r="R208" i="13"/>
  <c r="Q208" i="13"/>
  <c r="N208" i="13"/>
  <c r="I208" i="13"/>
  <c r="H208" i="13"/>
  <c r="K208" i="13" s="1"/>
  <c r="F208" i="13"/>
  <c r="R207" i="13"/>
  <c r="Q207" i="13"/>
  <c r="N207" i="13"/>
  <c r="I207" i="13"/>
  <c r="H207" i="13"/>
  <c r="K207" i="13" s="1"/>
  <c r="F207" i="13"/>
  <c r="R206" i="13"/>
  <c r="Q206" i="13"/>
  <c r="N206" i="13"/>
  <c r="I206" i="13"/>
  <c r="H206" i="13"/>
  <c r="K206" i="13" s="1"/>
  <c r="F206" i="13"/>
  <c r="R205" i="13"/>
  <c r="S205" i="13" s="1"/>
  <c r="Q205" i="13"/>
  <c r="N205" i="13"/>
  <c r="I205" i="13"/>
  <c r="H205" i="13"/>
  <c r="K205" i="13" s="1"/>
  <c r="F205" i="13"/>
  <c r="R204" i="13"/>
  <c r="Q204" i="13"/>
  <c r="N204" i="13"/>
  <c r="I204" i="13"/>
  <c r="H204" i="13"/>
  <c r="K204" i="13" s="1"/>
  <c r="F204" i="13"/>
  <c r="R203" i="13"/>
  <c r="Q203" i="13"/>
  <c r="N203" i="13"/>
  <c r="H203" i="13"/>
  <c r="K203" i="13" s="1"/>
  <c r="D203" i="13"/>
  <c r="Q202" i="13"/>
  <c r="P202" i="13"/>
  <c r="R202" i="13" s="1"/>
  <c r="S202" i="13" s="1"/>
  <c r="N202" i="13"/>
  <c r="I202" i="13"/>
  <c r="H202" i="13"/>
  <c r="K202" i="13" s="1"/>
  <c r="F202" i="13"/>
  <c r="R201" i="13"/>
  <c r="Q201" i="13"/>
  <c r="N201" i="13"/>
  <c r="K201" i="13"/>
  <c r="J201" i="13"/>
  <c r="I201" i="13"/>
  <c r="F201" i="13"/>
  <c r="R200" i="13"/>
  <c r="Q200" i="13"/>
  <c r="N200" i="13"/>
  <c r="K200" i="13"/>
  <c r="J200" i="13"/>
  <c r="I200" i="13"/>
  <c r="F200" i="13"/>
  <c r="Q199" i="13"/>
  <c r="P199" i="13"/>
  <c r="R199" i="13" s="1"/>
  <c r="N199" i="13"/>
  <c r="I199" i="13"/>
  <c r="H199" i="13"/>
  <c r="K199" i="13" s="1"/>
  <c r="F199" i="13"/>
  <c r="Q198" i="13"/>
  <c r="P198" i="13"/>
  <c r="R198" i="13" s="1"/>
  <c r="N198" i="13"/>
  <c r="I198" i="13"/>
  <c r="H198" i="13"/>
  <c r="K198" i="13" s="1"/>
  <c r="F198" i="13"/>
  <c r="R197" i="13"/>
  <c r="Q197" i="13"/>
  <c r="N197" i="13"/>
  <c r="K197" i="13"/>
  <c r="J197" i="13"/>
  <c r="I197" i="13"/>
  <c r="F197" i="13"/>
  <c r="R196" i="13"/>
  <c r="Q196" i="13"/>
  <c r="N196" i="13"/>
  <c r="I196" i="13"/>
  <c r="H196" i="13"/>
  <c r="J196" i="13" s="1"/>
  <c r="F196" i="13"/>
  <c r="R195" i="13"/>
  <c r="Q195" i="13"/>
  <c r="N195" i="13"/>
  <c r="K195" i="13"/>
  <c r="J195" i="13"/>
  <c r="I195" i="13"/>
  <c r="F195" i="13"/>
  <c r="R194" i="13"/>
  <c r="Q194" i="13"/>
  <c r="N194" i="13"/>
  <c r="K194" i="13"/>
  <c r="J194" i="13"/>
  <c r="I194" i="13"/>
  <c r="F194" i="13"/>
  <c r="R193" i="13"/>
  <c r="Q193" i="13"/>
  <c r="N193" i="13"/>
  <c r="K193" i="13"/>
  <c r="J193" i="13"/>
  <c r="I193" i="13"/>
  <c r="F193" i="13"/>
  <c r="R192" i="13"/>
  <c r="Q192" i="13"/>
  <c r="N192" i="13"/>
  <c r="K192" i="13"/>
  <c r="J192" i="13"/>
  <c r="I192" i="13"/>
  <c r="F192" i="13"/>
  <c r="R191" i="13"/>
  <c r="Q191" i="13"/>
  <c r="N191" i="13"/>
  <c r="K191" i="13"/>
  <c r="J191" i="13"/>
  <c r="I191" i="13"/>
  <c r="F191" i="13"/>
  <c r="R190" i="13"/>
  <c r="Q190" i="13"/>
  <c r="N190" i="13"/>
  <c r="K190" i="13"/>
  <c r="J190" i="13"/>
  <c r="I190" i="13"/>
  <c r="F190" i="13"/>
  <c r="R189" i="13"/>
  <c r="Q189" i="13"/>
  <c r="N189" i="13"/>
  <c r="K189" i="13"/>
  <c r="J189" i="13"/>
  <c r="I189" i="13"/>
  <c r="F189" i="13"/>
  <c r="R188" i="13"/>
  <c r="S188" i="13" s="1"/>
  <c r="Q188" i="13"/>
  <c r="N188" i="13"/>
  <c r="K188" i="13"/>
  <c r="J188" i="13"/>
  <c r="I188" i="13"/>
  <c r="F188" i="13"/>
  <c r="R187" i="13"/>
  <c r="Q187" i="13"/>
  <c r="N187" i="13"/>
  <c r="K187" i="13"/>
  <c r="J187" i="13"/>
  <c r="I187" i="13"/>
  <c r="F187" i="13"/>
  <c r="R186" i="13"/>
  <c r="Q186" i="13"/>
  <c r="N186" i="13"/>
  <c r="K186" i="13"/>
  <c r="J186" i="13"/>
  <c r="I186" i="13"/>
  <c r="F186" i="13"/>
  <c r="R185" i="13"/>
  <c r="Q185" i="13"/>
  <c r="N185" i="13"/>
  <c r="K185" i="13"/>
  <c r="J185" i="13"/>
  <c r="I185" i="13"/>
  <c r="F185" i="13"/>
  <c r="R184" i="13"/>
  <c r="Q184" i="13"/>
  <c r="N184" i="13"/>
  <c r="K184" i="13"/>
  <c r="D184" i="13"/>
  <c r="J184" i="13" s="1"/>
  <c r="R183" i="13"/>
  <c r="Q183" i="13"/>
  <c r="N183" i="13"/>
  <c r="K183" i="13"/>
  <c r="J183" i="13"/>
  <c r="I183" i="13"/>
  <c r="F183" i="13"/>
  <c r="R182" i="13"/>
  <c r="Q182" i="13"/>
  <c r="N182" i="13"/>
  <c r="I182" i="13"/>
  <c r="H182" i="13"/>
  <c r="J182" i="13" s="1"/>
  <c r="F182" i="13"/>
  <c r="R181" i="13"/>
  <c r="Q181" i="13"/>
  <c r="N181" i="13"/>
  <c r="K181" i="13"/>
  <c r="J181" i="13"/>
  <c r="I181" i="13"/>
  <c r="F181" i="13"/>
  <c r="R180" i="13"/>
  <c r="Q180" i="13"/>
  <c r="N180" i="13"/>
  <c r="K180" i="13"/>
  <c r="J180" i="13"/>
  <c r="I180" i="13"/>
  <c r="F180" i="13"/>
  <c r="R179" i="13"/>
  <c r="Q179" i="13"/>
  <c r="N179" i="13"/>
  <c r="J179" i="13"/>
  <c r="I179" i="13"/>
  <c r="F179" i="13"/>
  <c r="R178" i="13"/>
  <c r="S178" i="13" s="1"/>
  <c r="Q178" i="13"/>
  <c r="N178" i="13"/>
  <c r="J178" i="13"/>
  <c r="K178" i="13" s="1"/>
  <c r="I178" i="13"/>
  <c r="F178" i="13"/>
  <c r="R177" i="13"/>
  <c r="Q177" i="13"/>
  <c r="S177" i="13" s="1"/>
  <c r="N177" i="13"/>
  <c r="J177" i="13"/>
  <c r="I177" i="13"/>
  <c r="F177" i="13"/>
  <c r="R176" i="13"/>
  <c r="Q176" i="13"/>
  <c r="N176" i="13"/>
  <c r="J176" i="13"/>
  <c r="I176" i="13"/>
  <c r="F176" i="13"/>
  <c r="R175" i="13"/>
  <c r="Q175" i="13"/>
  <c r="N175" i="13"/>
  <c r="J175" i="13"/>
  <c r="I175" i="13"/>
  <c r="F175" i="13"/>
  <c r="R174" i="13"/>
  <c r="Q174" i="13"/>
  <c r="N174" i="13"/>
  <c r="J174" i="13"/>
  <c r="K174" i="13" s="1"/>
  <c r="I174" i="13"/>
  <c r="F174" i="13"/>
  <c r="R173" i="13"/>
  <c r="Q173" i="13"/>
  <c r="S173" i="13" s="1"/>
  <c r="N173" i="13"/>
  <c r="J173" i="13"/>
  <c r="I173" i="13"/>
  <c r="F173" i="13"/>
  <c r="R172" i="13"/>
  <c r="Q172" i="13"/>
  <c r="N172" i="13"/>
  <c r="J172" i="13"/>
  <c r="I172" i="13"/>
  <c r="F172" i="13"/>
  <c r="R171" i="13"/>
  <c r="Q171" i="13"/>
  <c r="N171" i="13"/>
  <c r="J171" i="13"/>
  <c r="I171" i="13"/>
  <c r="F171" i="13"/>
  <c r="R170" i="13"/>
  <c r="S170" i="13" s="1"/>
  <c r="Q170" i="13"/>
  <c r="N170" i="13"/>
  <c r="J170" i="13"/>
  <c r="I170" i="13"/>
  <c r="F170" i="13"/>
  <c r="P169" i="13"/>
  <c r="L169" i="13"/>
  <c r="N169" i="13" s="1"/>
  <c r="H169" i="13"/>
  <c r="D169" i="13"/>
  <c r="S168" i="13"/>
  <c r="R168" i="13"/>
  <c r="Q168" i="13"/>
  <c r="N168" i="13"/>
  <c r="I168" i="13"/>
  <c r="H168" i="13"/>
  <c r="J168" i="13" s="1"/>
  <c r="F168" i="13"/>
  <c r="R167" i="13"/>
  <c r="Q167" i="13"/>
  <c r="N167" i="13"/>
  <c r="I167" i="13"/>
  <c r="H167" i="13"/>
  <c r="J167" i="13" s="1"/>
  <c r="F167" i="13"/>
  <c r="R166" i="13"/>
  <c r="Q166" i="13"/>
  <c r="N166" i="13"/>
  <c r="I166" i="13"/>
  <c r="H166" i="13"/>
  <c r="K166" i="13" s="1"/>
  <c r="F166" i="13"/>
  <c r="Q165" i="13"/>
  <c r="P165" i="13"/>
  <c r="R165" i="13" s="1"/>
  <c r="N165" i="13"/>
  <c r="I165" i="13"/>
  <c r="H165" i="13"/>
  <c r="K165" i="13" s="1"/>
  <c r="F165" i="13"/>
  <c r="R164" i="13"/>
  <c r="Q164" i="13"/>
  <c r="N164" i="13"/>
  <c r="I164" i="13"/>
  <c r="H164" i="13"/>
  <c r="K164" i="13" s="1"/>
  <c r="F164" i="13"/>
  <c r="R163" i="13"/>
  <c r="Q163" i="13"/>
  <c r="N163" i="13"/>
  <c r="I163" i="13"/>
  <c r="H163" i="13"/>
  <c r="J163" i="13" s="1"/>
  <c r="F163" i="13"/>
  <c r="R162" i="13"/>
  <c r="Q162" i="13"/>
  <c r="N162" i="13"/>
  <c r="K162" i="13"/>
  <c r="I162" i="13"/>
  <c r="H162" i="13"/>
  <c r="J162" i="13" s="1"/>
  <c r="F162" i="13"/>
  <c r="R161" i="13"/>
  <c r="S161" i="13" s="1"/>
  <c r="Q161" i="13"/>
  <c r="N161" i="13"/>
  <c r="I161" i="13"/>
  <c r="H161" i="13"/>
  <c r="K161" i="13" s="1"/>
  <c r="F161" i="13"/>
  <c r="R160" i="13"/>
  <c r="Q160" i="13"/>
  <c r="N160" i="13"/>
  <c r="K160" i="13"/>
  <c r="J160" i="13"/>
  <c r="I160" i="13"/>
  <c r="F160" i="13"/>
  <c r="R159" i="13"/>
  <c r="Q159" i="13"/>
  <c r="N159" i="13"/>
  <c r="I159" i="13"/>
  <c r="H159" i="13"/>
  <c r="K159" i="13" s="1"/>
  <c r="F159" i="13"/>
  <c r="K158" i="13"/>
  <c r="J158" i="13"/>
  <c r="I158" i="13"/>
  <c r="F158" i="13"/>
  <c r="R157" i="13"/>
  <c r="Q157" i="13"/>
  <c r="N157" i="13"/>
  <c r="I157" i="13"/>
  <c r="H157" i="13"/>
  <c r="K157" i="13" s="1"/>
  <c r="F157" i="13"/>
  <c r="Q156" i="13"/>
  <c r="P156" i="13"/>
  <c r="R156" i="13" s="1"/>
  <c r="N156" i="13"/>
  <c r="I156" i="13"/>
  <c r="H156" i="13"/>
  <c r="J156" i="13" s="1"/>
  <c r="F156" i="13"/>
  <c r="Q155" i="13"/>
  <c r="P155" i="13"/>
  <c r="R155" i="13" s="1"/>
  <c r="N155" i="13"/>
  <c r="I155" i="13"/>
  <c r="H155" i="13"/>
  <c r="J155" i="13" s="1"/>
  <c r="F155" i="13"/>
  <c r="R154" i="13"/>
  <c r="Q154" i="13"/>
  <c r="N154" i="13"/>
  <c r="K154" i="13"/>
  <c r="J154" i="13"/>
  <c r="I154" i="13"/>
  <c r="F154" i="13"/>
  <c r="R153" i="13"/>
  <c r="S153" i="13" s="1"/>
  <c r="Q153" i="13"/>
  <c r="N153" i="13"/>
  <c r="K153" i="13"/>
  <c r="J153" i="13"/>
  <c r="I153" i="13"/>
  <c r="F153" i="13"/>
  <c r="R152" i="13"/>
  <c r="S152" i="13" s="1"/>
  <c r="Q152" i="13"/>
  <c r="N152" i="13"/>
  <c r="K152" i="13"/>
  <c r="J152" i="13"/>
  <c r="I152" i="13"/>
  <c r="F152" i="13"/>
  <c r="R151" i="13"/>
  <c r="Q151" i="13"/>
  <c r="N151" i="13"/>
  <c r="I151" i="13"/>
  <c r="H151" i="13"/>
  <c r="J151" i="13" s="1"/>
  <c r="F151" i="13"/>
  <c r="R150" i="13"/>
  <c r="Q150" i="13"/>
  <c r="N150" i="13"/>
  <c r="I150" i="13"/>
  <c r="H150" i="13"/>
  <c r="J150" i="13" s="1"/>
  <c r="F150" i="13"/>
  <c r="R149" i="13"/>
  <c r="Q149" i="13"/>
  <c r="N149" i="13"/>
  <c r="I149" i="13"/>
  <c r="H149" i="13"/>
  <c r="J149" i="13" s="1"/>
  <c r="F149" i="13"/>
  <c r="R148" i="13"/>
  <c r="Q148" i="13"/>
  <c r="N148" i="13"/>
  <c r="I148" i="13"/>
  <c r="H148" i="13"/>
  <c r="K148" i="13" s="1"/>
  <c r="F148" i="13"/>
  <c r="R147" i="13"/>
  <c r="Q147" i="13"/>
  <c r="N147" i="13"/>
  <c r="H147" i="13"/>
  <c r="J147" i="13" s="1"/>
  <c r="D147" i="13"/>
  <c r="I147" i="13" s="1"/>
  <c r="Q146" i="13"/>
  <c r="P146" i="13"/>
  <c r="R146" i="13" s="1"/>
  <c r="N146" i="13"/>
  <c r="I146" i="13"/>
  <c r="H146" i="13"/>
  <c r="K146" i="13" s="1"/>
  <c r="F146" i="13"/>
  <c r="R145" i="13"/>
  <c r="Q145" i="13"/>
  <c r="N145" i="13"/>
  <c r="I145" i="13"/>
  <c r="H145" i="13"/>
  <c r="J145" i="13" s="1"/>
  <c r="F145" i="13"/>
  <c r="R144" i="13"/>
  <c r="Q144" i="13"/>
  <c r="N144" i="13"/>
  <c r="I144" i="13"/>
  <c r="H144" i="13"/>
  <c r="J144" i="13" s="1"/>
  <c r="F144" i="13"/>
  <c r="R143" i="13"/>
  <c r="S143" i="13" s="1"/>
  <c r="Q143" i="13"/>
  <c r="N143" i="13"/>
  <c r="I143" i="13"/>
  <c r="H143" i="13"/>
  <c r="J143" i="13" s="1"/>
  <c r="F143" i="13"/>
  <c r="R142" i="13"/>
  <c r="Q142" i="13"/>
  <c r="S142" i="13" s="1"/>
  <c r="N142" i="13"/>
  <c r="I142" i="13"/>
  <c r="H142" i="13"/>
  <c r="K142" i="13" s="1"/>
  <c r="F142" i="13"/>
  <c r="R141" i="13"/>
  <c r="S141" i="13" s="1"/>
  <c r="Q141" i="13"/>
  <c r="N141" i="13"/>
  <c r="K141" i="13"/>
  <c r="J141" i="13"/>
  <c r="I141" i="13"/>
  <c r="F141" i="13"/>
  <c r="R140" i="13"/>
  <c r="Q140" i="13"/>
  <c r="N140" i="13"/>
  <c r="K140" i="13"/>
  <c r="J140" i="13"/>
  <c r="I140" i="13"/>
  <c r="F140" i="13"/>
  <c r="R139" i="13"/>
  <c r="Q139" i="13"/>
  <c r="N139" i="13"/>
  <c r="K139" i="13"/>
  <c r="J139" i="13"/>
  <c r="I139" i="13"/>
  <c r="F139" i="13"/>
  <c r="R138" i="13"/>
  <c r="Q138" i="13"/>
  <c r="N138" i="13"/>
  <c r="K138" i="13"/>
  <c r="J138" i="13"/>
  <c r="I138" i="13"/>
  <c r="F138" i="13"/>
  <c r="R137" i="13"/>
  <c r="Q137" i="13"/>
  <c r="N137" i="13"/>
  <c r="K137" i="13"/>
  <c r="J137" i="13"/>
  <c r="I137" i="13"/>
  <c r="F137" i="13"/>
  <c r="R136" i="13"/>
  <c r="Q136" i="13"/>
  <c r="N136" i="13"/>
  <c r="K136" i="13"/>
  <c r="J136" i="13"/>
  <c r="I136" i="13"/>
  <c r="F136" i="13"/>
  <c r="R135" i="13"/>
  <c r="Q135" i="13"/>
  <c r="N135" i="13"/>
  <c r="K135" i="13"/>
  <c r="J135" i="13"/>
  <c r="I135" i="13"/>
  <c r="F135" i="13"/>
  <c r="R134" i="13"/>
  <c r="Q134" i="13"/>
  <c r="N134" i="13"/>
  <c r="K134" i="13"/>
  <c r="J134" i="13"/>
  <c r="I134" i="13"/>
  <c r="F134" i="13"/>
  <c r="R133" i="13"/>
  <c r="Q133" i="13"/>
  <c r="N133" i="13"/>
  <c r="K133" i="13"/>
  <c r="J133" i="13"/>
  <c r="I133" i="13"/>
  <c r="F133" i="13"/>
  <c r="R132" i="13"/>
  <c r="S132" i="13" s="1"/>
  <c r="Q132" i="13"/>
  <c r="N132" i="13"/>
  <c r="K132" i="13"/>
  <c r="J132" i="13"/>
  <c r="I132" i="13"/>
  <c r="F132" i="13"/>
  <c r="R131" i="13"/>
  <c r="Q131" i="13"/>
  <c r="N131" i="13"/>
  <c r="K131" i="13"/>
  <c r="J131" i="13"/>
  <c r="I131" i="13"/>
  <c r="F131" i="13"/>
  <c r="R130" i="13"/>
  <c r="Q130" i="13"/>
  <c r="N130" i="13"/>
  <c r="K130" i="13"/>
  <c r="J130" i="13"/>
  <c r="I130" i="13"/>
  <c r="F130" i="13"/>
  <c r="R129" i="13"/>
  <c r="S129" i="13" s="1"/>
  <c r="Q129" i="13"/>
  <c r="N129" i="13"/>
  <c r="I129" i="13"/>
  <c r="H129" i="13"/>
  <c r="J129" i="13" s="1"/>
  <c r="F129" i="13"/>
  <c r="R128" i="13"/>
  <c r="Q128" i="13"/>
  <c r="N128" i="13"/>
  <c r="I128" i="13"/>
  <c r="H128" i="13"/>
  <c r="J128" i="13" s="1"/>
  <c r="F128" i="13"/>
  <c r="R127" i="13"/>
  <c r="Q127" i="13"/>
  <c r="N127" i="13"/>
  <c r="I127" i="13"/>
  <c r="H127" i="13"/>
  <c r="J127" i="13" s="1"/>
  <c r="F127" i="13"/>
  <c r="R126" i="13"/>
  <c r="S126" i="13" s="1"/>
  <c r="Q126" i="13"/>
  <c r="N126" i="13"/>
  <c r="I126" i="13"/>
  <c r="H126" i="13"/>
  <c r="J126" i="13" s="1"/>
  <c r="F126" i="13"/>
  <c r="R125" i="13"/>
  <c r="Q125" i="13"/>
  <c r="N125" i="13"/>
  <c r="I125" i="13"/>
  <c r="H125" i="13"/>
  <c r="J125" i="13" s="1"/>
  <c r="F125" i="13"/>
  <c r="R124" i="13"/>
  <c r="Q124" i="13"/>
  <c r="N124" i="13"/>
  <c r="I124" i="13"/>
  <c r="H124" i="13"/>
  <c r="K124" i="13" s="1"/>
  <c r="F124" i="13"/>
  <c r="R123" i="13"/>
  <c r="Q123" i="13"/>
  <c r="N123" i="13"/>
  <c r="I123" i="13"/>
  <c r="H123" i="13"/>
  <c r="J123" i="13" s="1"/>
  <c r="F123" i="13"/>
  <c r="R122" i="13"/>
  <c r="S122" i="13" s="1"/>
  <c r="Q122" i="13"/>
  <c r="N122" i="13"/>
  <c r="I122" i="13"/>
  <c r="H122" i="13"/>
  <c r="J122" i="13" s="1"/>
  <c r="F122" i="13"/>
  <c r="R121" i="13"/>
  <c r="Q121" i="13"/>
  <c r="N121" i="13"/>
  <c r="I121" i="13"/>
  <c r="H121" i="13"/>
  <c r="J121" i="13" s="1"/>
  <c r="F121" i="13"/>
  <c r="R120" i="13"/>
  <c r="Q120" i="13"/>
  <c r="N120" i="13"/>
  <c r="H120" i="13"/>
  <c r="K120" i="13" s="1"/>
  <c r="D120" i="13"/>
  <c r="F120" i="13" s="1"/>
  <c r="R119" i="13"/>
  <c r="S119" i="13" s="1"/>
  <c r="Q119" i="13"/>
  <c r="N119" i="13"/>
  <c r="I119" i="13"/>
  <c r="H119" i="13"/>
  <c r="K119" i="13" s="1"/>
  <c r="F119" i="13"/>
  <c r="R118" i="13"/>
  <c r="Q118" i="13"/>
  <c r="N118" i="13"/>
  <c r="K118" i="13"/>
  <c r="J118" i="13"/>
  <c r="I118" i="13"/>
  <c r="F118" i="13"/>
  <c r="R117" i="13"/>
  <c r="Q117" i="13"/>
  <c r="N117" i="13"/>
  <c r="K117" i="13"/>
  <c r="J117" i="13"/>
  <c r="I117" i="13"/>
  <c r="F117" i="13"/>
  <c r="R116" i="13"/>
  <c r="Q116" i="13"/>
  <c r="N116" i="13"/>
  <c r="K116" i="13"/>
  <c r="J116" i="13"/>
  <c r="I116" i="13"/>
  <c r="F116" i="13"/>
  <c r="R115" i="13"/>
  <c r="Q115" i="13"/>
  <c r="N115" i="13"/>
  <c r="K115" i="13"/>
  <c r="J115" i="13"/>
  <c r="I115" i="13"/>
  <c r="F115" i="13"/>
  <c r="R114" i="13"/>
  <c r="S114" i="13" s="1"/>
  <c r="Q114" i="13"/>
  <c r="N114" i="13"/>
  <c r="K114" i="13"/>
  <c r="J114" i="13"/>
  <c r="I114" i="13"/>
  <c r="F114" i="13"/>
  <c r="R113" i="13"/>
  <c r="Q113" i="13"/>
  <c r="N113" i="13"/>
  <c r="K113" i="13"/>
  <c r="J113" i="13"/>
  <c r="I113" i="13"/>
  <c r="F113" i="13"/>
  <c r="R112" i="13"/>
  <c r="Q112" i="13"/>
  <c r="N112" i="13"/>
  <c r="K112" i="13"/>
  <c r="J112" i="13"/>
  <c r="I112" i="13"/>
  <c r="F112" i="13"/>
  <c r="R111" i="13"/>
  <c r="Q111" i="13"/>
  <c r="N111" i="13"/>
  <c r="K111" i="13"/>
  <c r="J111" i="13"/>
  <c r="I111" i="13"/>
  <c r="F111" i="13"/>
  <c r="R110" i="13"/>
  <c r="Q110" i="13"/>
  <c r="N110" i="13"/>
  <c r="K110" i="13"/>
  <c r="J110" i="13"/>
  <c r="I110" i="13"/>
  <c r="F110" i="13"/>
  <c r="R109" i="13"/>
  <c r="Q109" i="13"/>
  <c r="N109" i="13"/>
  <c r="K109" i="13"/>
  <c r="J109" i="13"/>
  <c r="I109" i="13"/>
  <c r="F109" i="13"/>
  <c r="R108" i="13"/>
  <c r="Q108" i="13"/>
  <c r="N108" i="13"/>
  <c r="I108" i="13"/>
  <c r="H108" i="13"/>
  <c r="J108" i="13" s="1"/>
  <c r="F108" i="13"/>
  <c r="R107" i="13"/>
  <c r="S107" i="13" s="1"/>
  <c r="Q107" i="13"/>
  <c r="N107" i="13"/>
  <c r="I107" i="13"/>
  <c r="H107" i="13"/>
  <c r="K107" i="13" s="1"/>
  <c r="F107" i="13"/>
  <c r="R106" i="13"/>
  <c r="Q106" i="13"/>
  <c r="N106" i="13"/>
  <c r="I106" i="13"/>
  <c r="H106" i="13"/>
  <c r="J106" i="13" s="1"/>
  <c r="F106" i="13"/>
  <c r="S105" i="13"/>
  <c r="R105" i="13"/>
  <c r="Q105" i="13"/>
  <c r="N105" i="13"/>
  <c r="I105" i="13"/>
  <c r="H105" i="13"/>
  <c r="J105" i="13" s="1"/>
  <c r="F105" i="13"/>
  <c r="R104" i="13"/>
  <c r="Q104" i="13"/>
  <c r="N104" i="13"/>
  <c r="I104" i="13"/>
  <c r="H104" i="13"/>
  <c r="J104" i="13" s="1"/>
  <c r="F104" i="13"/>
  <c r="R103" i="13"/>
  <c r="Q103" i="13"/>
  <c r="N103" i="13"/>
  <c r="J103" i="13"/>
  <c r="I103" i="13"/>
  <c r="H103" i="13"/>
  <c r="K103" i="13" s="1"/>
  <c r="F103" i="13"/>
  <c r="R102" i="13"/>
  <c r="S102" i="13" s="1"/>
  <c r="Q102" i="13"/>
  <c r="N102" i="13"/>
  <c r="I102" i="13"/>
  <c r="H102" i="13"/>
  <c r="J102" i="13" s="1"/>
  <c r="F102" i="13"/>
  <c r="R101" i="13"/>
  <c r="Q101" i="13"/>
  <c r="N101" i="13"/>
  <c r="I101" i="13"/>
  <c r="H101" i="13"/>
  <c r="J101" i="13" s="1"/>
  <c r="F101" i="13"/>
  <c r="R100" i="13"/>
  <c r="Q100" i="13"/>
  <c r="N100" i="13"/>
  <c r="I100" i="13"/>
  <c r="H100" i="13"/>
  <c r="J100" i="13" s="1"/>
  <c r="F100" i="13"/>
  <c r="R99" i="13"/>
  <c r="Q99" i="13"/>
  <c r="N99" i="13"/>
  <c r="I99" i="13"/>
  <c r="H99" i="13"/>
  <c r="J99" i="13" s="1"/>
  <c r="F99" i="13"/>
  <c r="R98" i="13"/>
  <c r="Q98" i="13"/>
  <c r="N98" i="13"/>
  <c r="I98" i="13"/>
  <c r="H98" i="13"/>
  <c r="J98" i="13" s="1"/>
  <c r="F98" i="13"/>
  <c r="R97" i="13"/>
  <c r="Q97" i="13"/>
  <c r="N97" i="13"/>
  <c r="K97" i="13"/>
  <c r="I97" i="13"/>
  <c r="H97" i="13"/>
  <c r="J97" i="13" s="1"/>
  <c r="F97" i="13"/>
  <c r="R96" i="13"/>
  <c r="Q96" i="13"/>
  <c r="N96" i="13"/>
  <c r="I96" i="13"/>
  <c r="H96" i="13"/>
  <c r="J96" i="13" s="1"/>
  <c r="F96" i="13"/>
  <c r="R95" i="13"/>
  <c r="Q95" i="13"/>
  <c r="N95" i="13"/>
  <c r="I95" i="13"/>
  <c r="H95" i="13"/>
  <c r="K95" i="13" s="1"/>
  <c r="F95" i="13"/>
  <c r="R94" i="13"/>
  <c r="Q94" i="13"/>
  <c r="N94" i="13"/>
  <c r="K94" i="13"/>
  <c r="J94" i="13"/>
  <c r="I94" i="13"/>
  <c r="F94" i="13"/>
  <c r="Q93" i="13"/>
  <c r="P93" i="13"/>
  <c r="R93" i="13" s="1"/>
  <c r="S93" i="13" s="1"/>
  <c r="N93" i="13"/>
  <c r="I93" i="13"/>
  <c r="H93" i="13"/>
  <c r="J93" i="13" s="1"/>
  <c r="F93" i="13"/>
  <c r="R92" i="13"/>
  <c r="Q92" i="13"/>
  <c r="N92" i="13"/>
  <c r="K92" i="13"/>
  <c r="J92" i="13"/>
  <c r="I92" i="13"/>
  <c r="F92" i="13"/>
  <c r="R91" i="13"/>
  <c r="S91" i="13" s="1"/>
  <c r="Q91" i="13"/>
  <c r="N91" i="13"/>
  <c r="K91" i="13"/>
  <c r="J91" i="13"/>
  <c r="F91" i="13"/>
  <c r="D91" i="13"/>
  <c r="I91" i="13" s="1"/>
  <c r="R90" i="13"/>
  <c r="Q90" i="13"/>
  <c r="N90" i="13"/>
  <c r="K90" i="13"/>
  <c r="J90" i="13"/>
  <c r="I90" i="13"/>
  <c r="F90" i="13"/>
  <c r="R89" i="13"/>
  <c r="Q89" i="13"/>
  <c r="N89" i="13"/>
  <c r="K89" i="13"/>
  <c r="J89" i="13"/>
  <c r="I89" i="13"/>
  <c r="F89" i="13"/>
  <c r="R88" i="13"/>
  <c r="Q88" i="13"/>
  <c r="I88" i="13"/>
  <c r="H88" i="13"/>
  <c r="K88" i="13" s="1"/>
  <c r="F88" i="13"/>
  <c r="Q87" i="13"/>
  <c r="P87" i="13"/>
  <c r="R87" i="13" s="1"/>
  <c r="N87" i="13"/>
  <c r="I87" i="13"/>
  <c r="H87" i="13"/>
  <c r="K87" i="13" s="1"/>
  <c r="F87" i="13"/>
  <c r="R86" i="13"/>
  <c r="Q86" i="13"/>
  <c r="N86" i="13"/>
  <c r="I86" i="13"/>
  <c r="H86" i="13"/>
  <c r="J86" i="13" s="1"/>
  <c r="F86" i="13"/>
  <c r="Q85" i="13"/>
  <c r="P85" i="13"/>
  <c r="R85" i="13" s="1"/>
  <c r="N85" i="13"/>
  <c r="I85" i="13"/>
  <c r="H85" i="13"/>
  <c r="J85" i="13" s="1"/>
  <c r="F85" i="13"/>
  <c r="R84" i="13"/>
  <c r="S84" i="13" s="1"/>
  <c r="Q84" i="13"/>
  <c r="N84" i="13"/>
  <c r="I84" i="13"/>
  <c r="H84" i="13"/>
  <c r="K84" i="13" s="1"/>
  <c r="F84" i="13"/>
  <c r="R83" i="13"/>
  <c r="Q83" i="13"/>
  <c r="N83" i="13"/>
  <c r="K83" i="13"/>
  <c r="J83" i="13"/>
  <c r="I83" i="13"/>
  <c r="F83" i="13"/>
  <c r="Q82" i="13"/>
  <c r="P82" i="13"/>
  <c r="R82" i="13" s="1"/>
  <c r="S82" i="13" s="1"/>
  <c r="N82" i="13"/>
  <c r="H82" i="13"/>
  <c r="D82" i="13"/>
  <c r="F82" i="13" s="1"/>
  <c r="L81" i="13"/>
  <c r="N81" i="13" s="1"/>
  <c r="H81" i="13"/>
  <c r="J81" i="13" s="1"/>
  <c r="D81" i="13"/>
  <c r="I81" i="13" s="1"/>
  <c r="P80" i="13"/>
  <c r="L80" i="13"/>
  <c r="N80" i="13" s="1"/>
  <c r="H80" i="13"/>
  <c r="K80" i="13" s="1"/>
  <c r="D80" i="13"/>
  <c r="I80" i="13" s="1"/>
  <c r="Q79" i="13"/>
  <c r="P79" i="13"/>
  <c r="R79" i="13" s="1"/>
  <c r="N79" i="13"/>
  <c r="H79" i="13"/>
  <c r="K79" i="13" s="1"/>
  <c r="D79" i="13"/>
  <c r="I79" i="13" s="1"/>
  <c r="Q78" i="13"/>
  <c r="P78" i="13"/>
  <c r="R78" i="13" s="1"/>
  <c r="N78" i="13"/>
  <c r="H78" i="13"/>
  <c r="K78" i="13" s="1"/>
  <c r="D78" i="13"/>
  <c r="F78" i="13" s="1"/>
  <c r="Q77" i="13"/>
  <c r="P77" i="13"/>
  <c r="R77" i="13" s="1"/>
  <c r="N77" i="13"/>
  <c r="K77" i="13"/>
  <c r="H77" i="13"/>
  <c r="D77" i="13"/>
  <c r="I77" i="13" s="1"/>
  <c r="Q76" i="13"/>
  <c r="P76" i="13"/>
  <c r="R76" i="13" s="1"/>
  <c r="N76" i="13"/>
  <c r="H76" i="13"/>
  <c r="K76" i="13" s="1"/>
  <c r="D76" i="13"/>
  <c r="F76" i="13" s="1"/>
  <c r="Q75" i="13"/>
  <c r="P75" i="13"/>
  <c r="R75" i="13" s="1"/>
  <c r="S75" i="13" s="1"/>
  <c r="N75" i="13"/>
  <c r="I75" i="13"/>
  <c r="H75" i="13"/>
  <c r="J75" i="13" s="1"/>
  <c r="F75" i="13"/>
  <c r="Q74" i="13"/>
  <c r="P74" i="13"/>
  <c r="R74" i="13" s="1"/>
  <c r="S74" i="13" s="1"/>
  <c r="N74" i="13"/>
  <c r="H74" i="13"/>
  <c r="K74" i="13" s="1"/>
  <c r="F74" i="13"/>
  <c r="D74" i="13"/>
  <c r="I74" i="13" s="1"/>
  <c r="P73" i="13"/>
  <c r="L73" i="13"/>
  <c r="I73" i="13"/>
  <c r="H73" i="13"/>
  <c r="K73" i="13" s="1"/>
  <c r="F73" i="13"/>
  <c r="Q72" i="13"/>
  <c r="P72" i="13"/>
  <c r="R72" i="13" s="1"/>
  <c r="N72" i="13"/>
  <c r="I72" i="13"/>
  <c r="H72" i="13"/>
  <c r="K72" i="13" s="1"/>
  <c r="F72" i="13"/>
  <c r="Q71" i="13"/>
  <c r="P71" i="13"/>
  <c r="R71" i="13" s="1"/>
  <c r="S71" i="13" s="1"/>
  <c r="N71" i="13"/>
  <c r="H71" i="13"/>
  <c r="K71" i="13" s="1"/>
  <c r="D71" i="13"/>
  <c r="I71" i="13" s="1"/>
  <c r="Q70" i="13"/>
  <c r="P70" i="13"/>
  <c r="R70" i="13" s="1"/>
  <c r="N70" i="13"/>
  <c r="H70" i="13"/>
  <c r="K70" i="13" s="1"/>
  <c r="D70" i="13"/>
  <c r="I70" i="13" s="1"/>
  <c r="P69" i="13"/>
  <c r="L69" i="13"/>
  <c r="N69" i="13" s="1"/>
  <c r="H69" i="13"/>
  <c r="K69" i="13" s="1"/>
  <c r="F69" i="13"/>
  <c r="D69" i="13"/>
  <c r="I69" i="13" s="1"/>
  <c r="Q68" i="13"/>
  <c r="P68" i="13"/>
  <c r="R68" i="13" s="1"/>
  <c r="N68" i="13"/>
  <c r="H68" i="13"/>
  <c r="K68" i="13" s="1"/>
  <c r="D68" i="13"/>
  <c r="Q67" i="13"/>
  <c r="P67" i="13"/>
  <c r="L67" i="13"/>
  <c r="N67" i="13" s="1"/>
  <c r="I67" i="13"/>
  <c r="H67" i="13"/>
  <c r="K67" i="13" s="1"/>
  <c r="F67" i="13"/>
  <c r="Q66" i="13"/>
  <c r="P66" i="13"/>
  <c r="R66" i="13" s="1"/>
  <c r="N66" i="13"/>
  <c r="I66" i="13"/>
  <c r="H66" i="13"/>
  <c r="J66" i="13" s="1"/>
  <c r="F66" i="13"/>
  <c r="Q65" i="13"/>
  <c r="P65" i="13"/>
  <c r="R65" i="13" s="1"/>
  <c r="S65" i="13" s="1"/>
  <c r="N65" i="13"/>
  <c r="I65" i="13"/>
  <c r="H65" i="13"/>
  <c r="K65" i="13" s="1"/>
  <c r="F65" i="13"/>
  <c r="Q64" i="13"/>
  <c r="P64" i="13"/>
  <c r="R64" i="13" s="1"/>
  <c r="N64" i="13"/>
  <c r="I64" i="13"/>
  <c r="H64" i="13"/>
  <c r="K64" i="13" s="1"/>
  <c r="F64" i="13"/>
  <c r="R63" i="13"/>
  <c r="Q63" i="13"/>
  <c r="N63" i="13"/>
  <c r="H63" i="13"/>
  <c r="K63" i="13" s="1"/>
  <c r="D63" i="13"/>
  <c r="F63" i="13" s="1"/>
  <c r="R62" i="13"/>
  <c r="S62" i="13" s="1"/>
  <c r="Q62" i="13"/>
  <c r="N62" i="13"/>
  <c r="I62" i="13"/>
  <c r="H62" i="13"/>
  <c r="K62" i="13" s="1"/>
  <c r="F62" i="13"/>
  <c r="R61" i="13"/>
  <c r="Q61" i="13"/>
  <c r="N61" i="13"/>
  <c r="K61" i="13"/>
  <c r="J61" i="13"/>
  <c r="I61" i="13"/>
  <c r="F61" i="13"/>
  <c r="R60" i="13"/>
  <c r="Q60" i="13"/>
  <c r="N60" i="13"/>
  <c r="K60" i="13"/>
  <c r="J60" i="13"/>
  <c r="I60" i="13"/>
  <c r="F60" i="13"/>
  <c r="R59" i="13"/>
  <c r="Q59" i="13"/>
  <c r="I59" i="13"/>
  <c r="H59" i="13"/>
  <c r="K59" i="13" s="1"/>
  <c r="F59" i="13"/>
  <c r="R58" i="13"/>
  <c r="Q58" i="13"/>
  <c r="S58" i="13" s="1"/>
  <c r="N58" i="13"/>
  <c r="K58" i="13"/>
  <c r="I58" i="13"/>
  <c r="H58" i="13"/>
  <c r="J58" i="13" s="1"/>
  <c r="F58" i="13"/>
  <c r="R57" i="13"/>
  <c r="S57" i="13" s="1"/>
  <c r="Q57" i="13"/>
  <c r="N57" i="13"/>
  <c r="I57" i="13"/>
  <c r="H57" i="13"/>
  <c r="K57" i="13" s="1"/>
  <c r="F57" i="13"/>
  <c r="R56" i="13"/>
  <c r="Q56" i="13"/>
  <c r="N56" i="13"/>
  <c r="I56" i="13"/>
  <c r="H56" i="13"/>
  <c r="K56" i="13" s="1"/>
  <c r="F56" i="13"/>
  <c r="R55" i="13"/>
  <c r="Q55" i="13"/>
  <c r="P55" i="13"/>
  <c r="N55" i="13"/>
  <c r="I55" i="13"/>
  <c r="H55" i="13"/>
  <c r="K55" i="13" s="1"/>
  <c r="F55" i="13"/>
  <c r="R54" i="13"/>
  <c r="Q54" i="13"/>
  <c r="N54" i="13"/>
  <c r="H54" i="13"/>
  <c r="J54" i="13" s="1"/>
  <c r="D54" i="13"/>
  <c r="F54" i="13" s="1"/>
  <c r="R53" i="13"/>
  <c r="S53" i="13" s="1"/>
  <c r="Q53" i="13"/>
  <c r="N53" i="13"/>
  <c r="I53" i="13"/>
  <c r="H53" i="13"/>
  <c r="K53" i="13" s="1"/>
  <c r="F53" i="13"/>
  <c r="R52" i="13"/>
  <c r="Q52" i="13"/>
  <c r="N52" i="13"/>
  <c r="H52" i="13"/>
  <c r="D52" i="13"/>
  <c r="I52" i="13" s="1"/>
  <c r="R51" i="13"/>
  <c r="Q51" i="13"/>
  <c r="N51" i="13"/>
  <c r="K51" i="13"/>
  <c r="J51" i="13"/>
  <c r="I51" i="13"/>
  <c r="F51" i="13"/>
  <c r="R50" i="13"/>
  <c r="S50" i="13" s="1"/>
  <c r="Q50" i="13"/>
  <c r="N50" i="13"/>
  <c r="I50" i="13"/>
  <c r="H50" i="13"/>
  <c r="K50" i="13" s="1"/>
  <c r="F50" i="13"/>
  <c r="Q49" i="13"/>
  <c r="P49" i="13"/>
  <c r="R49" i="13" s="1"/>
  <c r="N49" i="13"/>
  <c r="I49" i="13"/>
  <c r="H49" i="13"/>
  <c r="K49" i="13" s="1"/>
  <c r="F49" i="13"/>
  <c r="S48" i="13"/>
  <c r="R48" i="13"/>
  <c r="Q48" i="13"/>
  <c r="N48" i="13"/>
  <c r="I48" i="13"/>
  <c r="H48" i="13"/>
  <c r="K48" i="13" s="1"/>
  <c r="F48" i="13"/>
  <c r="R47" i="13"/>
  <c r="Q47" i="13"/>
  <c r="N47" i="13"/>
  <c r="I47" i="13"/>
  <c r="H47" i="13"/>
  <c r="K47" i="13" s="1"/>
  <c r="F47" i="13"/>
  <c r="R46" i="13"/>
  <c r="Q46" i="13"/>
  <c r="N46" i="13"/>
  <c r="I46" i="13"/>
  <c r="H46" i="13"/>
  <c r="K46" i="13" s="1"/>
  <c r="F46" i="13"/>
  <c r="R45" i="13"/>
  <c r="Q45" i="13"/>
  <c r="N45" i="13"/>
  <c r="H45" i="13"/>
  <c r="K45" i="13" s="1"/>
  <c r="D45" i="13"/>
  <c r="F45" i="13" s="1"/>
  <c r="R44" i="13"/>
  <c r="S44" i="13" s="1"/>
  <c r="Q44" i="13"/>
  <c r="N44" i="13"/>
  <c r="I44" i="13"/>
  <c r="H44" i="13"/>
  <c r="J44" i="13" s="1"/>
  <c r="F44" i="13"/>
  <c r="R43" i="13"/>
  <c r="Q43" i="13"/>
  <c r="N43" i="13"/>
  <c r="I43" i="13"/>
  <c r="H43" i="13"/>
  <c r="K43" i="13" s="1"/>
  <c r="F43" i="13"/>
  <c r="R42" i="13"/>
  <c r="Q42" i="13"/>
  <c r="N42" i="13"/>
  <c r="I42" i="13"/>
  <c r="H42" i="13"/>
  <c r="K42" i="13" s="1"/>
  <c r="F42" i="13"/>
  <c r="R41" i="13"/>
  <c r="Q41" i="13"/>
  <c r="N41" i="13"/>
  <c r="I41" i="13"/>
  <c r="H41" i="13"/>
  <c r="J41" i="13" s="1"/>
  <c r="F41" i="13"/>
  <c r="R40" i="13"/>
  <c r="Q40" i="13"/>
  <c r="N40" i="13"/>
  <c r="I40" i="13"/>
  <c r="H40" i="13"/>
  <c r="K40" i="13" s="1"/>
  <c r="F40" i="13"/>
  <c r="R39" i="13"/>
  <c r="Q39" i="13"/>
  <c r="N39" i="13"/>
  <c r="K39" i="13"/>
  <c r="J39" i="13"/>
  <c r="I39" i="13"/>
  <c r="F39" i="13"/>
  <c r="R38" i="13"/>
  <c r="Q38" i="13"/>
  <c r="N38" i="13"/>
  <c r="K38" i="13"/>
  <c r="J38" i="13"/>
  <c r="I38" i="13"/>
  <c r="F38" i="13"/>
  <c r="Q37" i="13"/>
  <c r="P37" i="13"/>
  <c r="R37" i="13" s="1"/>
  <c r="N37" i="13"/>
  <c r="I37" i="13"/>
  <c r="H37" i="13"/>
  <c r="K37" i="13" s="1"/>
  <c r="F37" i="13"/>
  <c r="R36" i="13"/>
  <c r="S36" i="13" s="1"/>
  <c r="Q36" i="13"/>
  <c r="N36" i="13"/>
  <c r="K36" i="13"/>
  <c r="J36" i="13"/>
  <c r="I36" i="13"/>
  <c r="F36" i="13"/>
  <c r="R35" i="13"/>
  <c r="Q35" i="13"/>
  <c r="N35" i="13"/>
  <c r="J35" i="13"/>
  <c r="I35" i="13"/>
  <c r="F35" i="13"/>
  <c r="R34" i="13"/>
  <c r="Q34" i="13"/>
  <c r="N34" i="13"/>
  <c r="I34" i="13"/>
  <c r="H34" i="13"/>
  <c r="K34" i="13" s="1"/>
  <c r="F34" i="13"/>
  <c r="R33" i="13"/>
  <c r="S33" i="13" s="1"/>
  <c r="Q33" i="13"/>
  <c r="N33" i="13"/>
  <c r="I33" i="13"/>
  <c r="H33" i="13"/>
  <c r="K33" i="13" s="1"/>
  <c r="F33" i="13"/>
  <c r="R32" i="13"/>
  <c r="Q32" i="13"/>
  <c r="N32" i="13"/>
  <c r="I32" i="13"/>
  <c r="H32" i="13"/>
  <c r="K32" i="13" s="1"/>
  <c r="F32" i="13"/>
  <c r="R31" i="13"/>
  <c r="Q31" i="13"/>
  <c r="N31" i="13"/>
  <c r="I31" i="13"/>
  <c r="H31" i="13"/>
  <c r="J31" i="13" s="1"/>
  <c r="F31" i="13"/>
  <c r="R30" i="13"/>
  <c r="Q30" i="13"/>
  <c r="N30" i="13"/>
  <c r="H30" i="13"/>
  <c r="K30" i="13" s="1"/>
  <c r="D30" i="13"/>
  <c r="F30" i="13" s="1"/>
  <c r="R29" i="13"/>
  <c r="Q29" i="13"/>
  <c r="P29" i="13"/>
  <c r="N29" i="13"/>
  <c r="I29" i="13"/>
  <c r="H29" i="13"/>
  <c r="J29" i="13" s="1"/>
  <c r="F29" i="13"/>
  <c r="R28" i="13"/>
  <c r="Q28" i="13"/>
  <c r="N28" i="13"/>
  <c r="K28" i="13"/>
  <c r="J28" i="13"/>
  <c r="I28" i="13"/>
  <c r="F28" i="13"/>
  <c r="R27" i="13"/>
  <c r="Q27" i="13"/>
  <c r="N27" i="13"/>
  <c r="K27" i="13"/>
  <c r="J27" i="13"/>
  <c r="I27" i="13"/>
  <c r="F27" i="13"/>
  <c r="Q26" i="13"/>
  <c r="P26" i="13"/>
  <c r="R26" i="13" s="1"/>
  <c r="N26" i="13"/>
  <c r="I26" i="13"/>
  <c r="H26" i="13"/>
  <c r="J26" i="13" s="1"/>
  <c r="F26" i="13"/>
  <c r="R25" i="13"/>
  <c r="Q25" i="13"/>
  <c r="N25" i="13"/>
  <c r="I25" i="13"/>
  <c r="H25" i="13"/>
  <c r="J25" i="13" s="1"/>
  <c r="F25" i="13"/>
  <c r="R24" i="13"/>
  <c r="Q24" i="13"/>
  <c r="N24" i="13"/>
  <c r="I24" i="13"/>
  <c r="H24" i="13"/>
  <c r="J24" i="13" s="1"/>
  <c r="F24" i="13"/>
  <c r="R23" i="13"/>
  <c r="Q23" i="13"/>
  <c r="N23" i="13"/>
  <c r="I23" i="13"/>
  <c r="H23" i="13"/>
  <c r="K23" i="13" s="1"/>
  <c r="F23" i="13"/>
  <c r="R22" i="13"/>
  <c r="Q22" i="13"/>
  <c r="N22" i="13"/>
  <c r="I22" i="13"/>
  <c r="H22" i="13"/>
  <c r="J22" i="13" s="1"/>
  <c r="F22" i="13"/>
  <c r="R21" i="13"/>
  <c r="Q21" i="13"/>
  <c r="N21" i="13"/>
  <c r="I21" i="13"/>
  <c r="H21" i="13"/>
  <c r="K21" i="13" s="1"/>
  <c r="F21" i="13"/>
  <c r="R20" i="13"/>
  <c r="Q20" i="13"/>
  <c r="N20" i="13"/>
  <c r="I20" i="13"/>
  <c r="H20" i="13"/>
  <c r="K20" i="13" s="1"/>
  <c r="F20" i="13"/>
  <c r="R19" i="13"/>
  <c r="S19" i="13" s="1"/>
  <c r="Q19" i="13"/>
  <c r="N19" i="13"/>
  <c r="I19" i="13"/>
  <c r="H19" i="13"/>
  <c r="K19" i="13" s="1"/>
  <c r="F19" i="13"/>
  <c r="R18" i="13"/>
  <c r="Q18" i="13"/>
  <c r="N18" i="13"/>
  <c r="I18" i="13"/>
  <c r="H18" i="13"/>
  <c r="J18" i="13" s="1"/>
  <c r="F18" i="13"/>
  <c r="Q17" i="13"/>
  <c r="P17" i="13"/>
  <c r="R17" i="13" s="1"/>
  <c r="N17" i="13"/>
  <c r="I17" i="13"/>
  <c r="H17" i="13"/>
  <c r="J17" i="13" s="1"/>
  <c r="F17" i="13"/>
  <c r="Q16" i="13"/>
  <c r="P16" i="13"/>
  <c r="R16" i="13" s="1"/>
  <c r="N16" i="13"/>
  <c r="I16" i="13"/>
  <c r="H16" i="13"/>
  <c r="K16" i="13" s="1"/>
  <c r="F16" i="13"/>
  <c r="Q15" i="13"/>
  <c r="P15" i="13"/>
  <c r="R15" i="13" s="1"/>
  <c r="N15" i="13"/>
  <c r="I15" i="13"/>
  <c r="H15" i="13"/>
  <c r="K15" i="13" s="1"/>
  <c r="F15" i="13"/>
  <c r="Q14" i="13"/>
  <c r="P14" i="13"/>
  <c r="R14" i="13" s="1"/>
  <c r="S14" i="13" s="1"/>
  <c r="N14" i="13"/>
  <c r="I14" i="13"/>
  <c r="H14" i="13"/>
  <c r="J14" i="13" s="1"/>
  <c r="F14" i="13"/>
  <c r="R13" i="13"/>
  <c r="Q13" i="13"/>
  <c r="N13" i="13"/>
  <c r="I13" i="13"/>
  <c r="H13" i="13"/>
  <c r="K13" i="13" s="1"/>
  <c r="F13" i="13"/>
  <c r="R12" i="13"/>
  <c r="Q12" i="13"/>
  <c r="N12" i="13"/>
  <c r="K12" i="13"/>
  <c r="J12" i="13"/>
  <c r="I12" i="13"/>
  <c r="F12" i="13"/>
  <c r="Q11" i="13"/>
  <c r="P11" i="13"/>
  <c r="R11" i="13" s="1"/>
  <c r="N11" i="13"/>
  <c r="I11" i="13"/>
  <c r="H11" i="13"/>
  <c r="J11" i="13" s="1"/>
  <c r="F11" i="13"/>
  <c r="R10" i="13"/>
  <c r="S10" i="13" s="1"/>
  <c r="Q10" i="13"/>
  <c r="N10" i="13"/>
  <c r="I10" i="13"/>
  <c r="H10" i="13"/>
  <c r="J10" i="13" s="1"/>
  <c r="F10" i="13"/>
  <c r="R9" i="13"/>
  <c r="Q9" i="13"/>
  <c r="N9" i="13"/>
  <c r="K9" i="13"/>
  <c r="J9" i="13"/>
  <c r="I9" i="13"/>
  <c r="F9" i="13"/>
  <c r="R8" i="13"/>
  <c r="Q8" i="13"/>
  <c r="N8" i="13"/>
  <c r="I8" i="13"/>
  <c r="H8" i="13"/>
  <c r="K8" i="13" s="1"/>
  <c r="F8" i="13"/>
  <c r="R7" i="13"/>
  <c r="Q7" i="13"/>
  <c r="N7" i="13"/>
  <c r="I7" i="13"/>
  <c r="H7" i="13"/>
  <c r="J7" i="13" s="1"/>
  <c r="F7" i="13"/>
  <c r="R6" i="13"/>
  <c r="S6" i="13" s="1"/>
  <c r="Q6" i="13"/>
  <c r="N6" i="13"/>
  <c r="K6" i="13"/>
  <c r="J6" i="13"/>
  <c r="I6" i="13"/>
  <c r="F6" i="13"/>
  <c r="R5" i="13"/>
  <c r="Q5" i="13"/>
  <c r="N5" i="13"/>
  <c r="K5" i="13"/>
  <c r="J5" i="13"/>
  <c r="I5" i="13"/>
  <c r="F5" i="13"/>
  <c r="K22" i="13" l="1"/>
  <c r="S61" i="13"/>
  <c r="S78" i="13"/>
  <c r="S180" i="13"/>
  <c r="K17" i="13"/>
  <c r="S20" i="13"/>
  <c r="S26" i="13"/>
  <c r="S72" i="13"/>
  <c r="K81" i="13"/>
  <c r="K122" i="13"/>
  <c r="K163" i="13"/>
  <c r="J169" i="13"/>
  <c r="S196" i="13"/>
  <c r="S17" i="13"/>
  <c r="J30" i="13"/>
  <c r="J43" i="13"/>
  <c r="Q81" i="13"/>
  <c r="S89" i="13"/>
  <c r="S98" i="13"/>
  <c r="S111" i="13"/>
  <c r="K128" i="13"/>
  <c r="S138" i="13"/>
  <c r="S206" i="13"/>
  <c r="S210" i="13"/>
  <c r="S214" i="13"/>
  <c r="J19" i="13"/>
  <c r="K126" i="13"/>
  <c r="K10" i="13"/>
  <c r="J53" i="13"/>
  <c r="K144" i="13"/>
  <c r="S175" i="13"/>
  <c r="S34" i="13"/>
  <c r="S49" i="13"/>
  <c r="S60" i="13"/>
  <c r="S108" i="13"/>
  <c r="K172" i="13"/>
  <c r="K176" i="13"/>
  <c r="S195" i="13"/>
  <c r="K99" i="13"/>
  <c r="S190" i="13"/>
  <c r="K211" i="13"/>
  <c r="K41" i="13"/>
  <c r="K29" i="13"/>
  <c r="J59" i="13"/>
  <c r="J80" i="13"/>
  <c r="J166" i="13"/>
  <c r="S183" i="13"/>
  <c r="S185" i="13"/>
  <c r="S12" i="13"/>
  <c r="J20" i="13"/>
  <c r="S27" i="13"/>
  <c r="J67" i="13"/>
  <c r="S97" i="13"/>
  <c r="S213" i="13"/>
  <c r="S5" i="13"/>
  <c r="S172" i="13"/>
  <c r="S176" i="13"/>
  <c r="S194" i="13"/>
  <c r="K196" i="13"/>
  <c r="S39" i="13"/>
  <c r="J45" i="13"/>
  <c r="I54" i="13"/>
  <c r="S64" i="13"/>
  <c r="S66" i="13"/>
  <c r="S70" i="13"/>
  <c r="J72" i="13"/>
  <c r="R81" i="13"/>
  <c r="S81" i="13" s="1"/>
  <c r="K101" i="13"/>
  <c r="S131" i="13"/>
  <c r="K151" i="13"/>
  <c r="K156" i="13"/>
  <c r="S163" i="13"/>
  <c r="S165" i="13"/>
  <c r="K171" i="13"/>
  <c r="K173" i="13"/>
  <c r="S197" i="13"/>
  <c r="S216" i="13"/>
  <c r="K7" i="13"/>
  <c r="S43" i="13"/>
  <c r="S45" i="13"/>
  <c r="J49" i="13"/>
  <c r="J56" i="13"/>
  <c r="R80" i="13"/>
  <c r="S80" i="13" s="1"/>
  <c r="I82" i="13"/>
  <c r="S101" i="13"/>
  <c r="S151" i="13"/>
  <c r="S160" i="13"/>
  <c r="Q169" i="13"/>
  <c r="K177" i="13"/>
  <c r="J215" i="13"/>
  <c r="K31" i="13"/>
  <c r="S117" i="13"/>
  <c r="K14" i="13"/>
  <c r="S24" i="13"/>
  <c r="J63" i="13"/>
  <c r="S76" i="13"/>
  <c r="Q80" i="13"/>
  <c r="S96" i="13"/>
  <c r="K98" i="13"/>
  <c r="S121" i="13"/>
  <c r="S128" i="13"/>
  <c r="S135" i="13"/>
  <c r="J146" i="13"/>
  <c r="J148" i="13"/>
  <c r="K155" i="13"/>
  <c r="S162" i="13"/>
  <c r="J164" i="13"/>
  <c r="S182" i="13"/>
  <c r="S184" i="13"/>
  <c r="K175" i="13"/>
  <c r="S29" i="13"/>
  <c r="S149" i="13"/>
  <c r="S7" i="13"/>
  <c r="J23" i="13"/>
  <c r="S28" i="13"/>
  <c r="S56" i="13"/>
  <c r="F81" i="13"/>
  <c r="J84" i="13"/>
  <c r="K127" i="13"/>
  <c r="S146" i="13"/>
  <c r="K168" i="13"/>
  <c r="S186" i="13"/>
  <c r="S191" i="13"/>
  <c r="J208" i="13"/>
  <c r="J76" i="13"/>
  <c r="S9" i="13"/>
  <c r="K11" i="13"/>
  <c r="S35" i="13"/>
  <c r="J46" i="13"/>
  <c r="J55" i="13"/>
  <c r="S63" i="13"/>
  <c r="K75" i="13"/>
  <c r="S116" i="13"/>
  <c r="I120" i="13"/>
  <c r="J157" i="13"/>
  <c r="S200" i="13"/>
  <c r="F212" i="13"/>
  <c r="S217" i="13"/>
  <c r="K24" i="13"/>
  <c r="J82" i="13"/>
  <c r="S30" i="13"/>
  <c r="S148" i="13"/>
  <c r="S150" i="13"/>
  <c r="S179" i="13"/>
  <c r="S193" i="13"/>
  <c r="F216" i="13"/>
  <c r="S99" i="13"/>
  <c r="J124" i="13"/>
  <c r="S134" i="13"/>
  <c r="K145" i="13"/>
  <c r="S208" i="13"/>
  <c r="I218" i="13"/>
  <c r="S25" i="13"/>
  <c r="S37" i="13"/>
  <c r="J52" i="13"/>
  <c r="J68" i="13"/>
  <c r="S77" i="13"/>
  <c r="S90" i="13"/>
  <c r="S95" i="13"/>
  <c r="S212" i="13"/>
  <c r="S15" i="13"/>
  <c r="S41" i="13"/>
  <c r="L219" i="13"/>
  <c r="R73" i="13"/>
  <c r="S87" i="13"/>
  <c r="K170" i="13"/>
  <c r="S181" i="13"/>
  <c r="S46" i="13"/>
  <c r="S51" i="13"/>
  <c r="R67" i="13"/>
  <c r="S67" i="13" s="1"/>
  <c r="J69" i="13"/>
  <c r="Q73" i="13"/>
  <c r="I78" i="13"/>
  <c r="F80" i="13"/>
  <c r="K86" i="13"/>
  <c r="S94" i="13"/>
  <c r="S104" i="13"/>
  <c r="K106" i="13"/>
  <c r="S109" i="13"/>
  <c r="S124" i="13"/>
  <c r="S136" i="13"/>
  <c r="K150" i="13"/>
  <c r="S156" i="13"/>
  <c r="S166" i="13"/>
  <c r="S201" i="13"/>
  <c r="S203" i="13"/>
  <c r="I216" i="13"/>
  <c r="F226" i="13"/>
  <c r="E226" i="13" s="1"/>
  <c r="S22" i="13"/>
  <c r="J32" i="13"/>
  <c r="I63" i="13"/>
  <c r="K66" i="13"/>
  <c r="K93" i="13"/>
  <c r="K123" i="13"/>
  <c r="S198" i="13"/>
  <c r="J210" i="13"/>
  <c r="S211" i="13"/>
  <c r="J213" i="13"/>
  <c r="K26" i="13"/>
  <c r="J37" i="13"/>
  <c r="K52" i="13"/>
  <c r="R69" i="13"/>
  <c r="S106" i="13"/>
  <c r="J120" i="13"/>
  <c r="J207" i="13"/>
  <c r="J224" i="13"/>
  <c r="J226" i="13" s="1"/>
  <c r="J34" i="13"/>
  <c r="S38" i="13"/>
  <c r="J42" i="13"/>
  <c r="F71" i="13"/>
  <c r="F77" i="13"/>
  <c r="S86" i="13"/>
  <c r="S118" i="13"/>
  <c r="S133" i="13"/>
  <c r="J142" i="13"/>
  <c r="K147" i="13"/>
  <c r="K182" i="13"/>
  <c r="S32" i="13"/>
  <c r="S40" i="13"/>
  <c r="J47" i="13"/>
  <c r="J65" i="13"/>
  <c r="I68" i="13"/>
  <c r="Q69" i="13"/>
  <c r="Q219" i="13" s="1"/>
  <c r="O219" i="13" s="1"/>
  <c r="J71" i="13"/>
  <c r="J77" i="13"/>
  <c r="J79" i="13"/>
  <c r="J95" i="13"/>
  <c r="K105" i="13"/>
  <c r="S113" i="13"/>
  <c r="S123" i="13"/>
  <c r="S145" i="13"/>
  <c r="K179" i="13"/>
  <c r="J204" i="13"/>
  <c r="F218" i="13"/>
  <c r="S11" i="13"/>
  <c r="S42" i="13"/>
  <c r="S52" i="13"/>
  <c r="S55" i="13"/>
  <c r="F70" i="13"/>
  <c r="S115" i="13"/>
  <c r="S125" i="13"/>
  <c r="J199" i="13"/>
  <c r="S16" i="13"/>
  <c r="S83" i="13"/>
  <c r="S103" i="13"/>
  <c r="S130" i="13"/>
  <c r="S147" i="13"/>
  <c r="S155" i="13"/>
  <c r="S167" i="13"/>
  <c r="S187" i="13"/>
  <c r="S8" i="13"/>
  <c r="S13" i="13"/>
  <c r="J15" i="13"/>
  <c r="K18" i="13"/>
  <c r="S21" i="13"/>
  <c r="S47" i="13"/>
  <c r="K54" i="13"/>
  <c r="J62" i="13"/>
  <c r="S68" i="13"/>
  <c r="K82" i="13"/>
  <c r="S85" i="13"/>
  <c r="J87" i="13"/>
  <c r="S100" i="13"/>
  <c r="K102" i="13"/>
  <c r="J107" i="13"/>
  <c r="S110" i="13"/>
  <c r="S120" i="13"/>
  <c r="S137" i="13"/>
  <c r="S144" i="13"/>
  <c r="S159" i="13"/>
  <c r="R169" i="13"/>
  <c r="S169" i="13" s="1"/>
  <c r="S174" i="13"/>
  <c r="S192" i="13"/>
  <c r="J203" i="13"/>
  <c r="S204" i="13"/>
  <c r="J206" i="13"/>
  <c r="S207" i="13"/>
  <c r="J70" i="13"/>
  <c r="S18" i="13"/>
  <c r="S23" i="13"/>
  <c r="S31" i="13"/>
  <c r="S54" i="13"/>
  <c r="S79" i="13"/>
  <c r="S92" i="13"/>
  <c r="S112" i="13"/>
  <c r="S127" i="13"/>
  <c r="S154" i="13"/>
  <c r="S157" i="13"/>
  <c r="S164" i="13"/>
  <c r="S171" i="13"/>
  <c r="S189" i="13"/>
  <c r="S199" i="13"/>
  <c r="J13" i="13"/>
  <c r="J50" i="13"/>
  <c r="J78" i="13"/>
  <c r="J159" i="13"/>
  <c r="I30" i="13"/>
  <c r="I45" i="13"/>
  <c r="I76" i="13"/>
  <c r="K85" i="13"/>
  <c r="K96" i="13"/>
  <c r="K100" i="13"/>
  <c r="K104" i="13"/>
  <c r="K108" i="13"/>
  <c r="K121" i="13"/>
  <c r="K125" i="13"/>
  <c r="K129" i="13"/>
  <c r="K149" i="13"/>
  <c r="K167" i="13"/>
  <c r="F203" i="13"/>
  <c r="D219" i="13"/>
  <c r="J212" i="13"/>
  <c r="F147" i="13"/>
  <c r="I203" i="13"/>
  <c r="F52" i="13"/>
  <c r="J21" i="13"/>
  <c r="J40" i="13"/>
  <c r="J8" i="13"/>
  <c r="J16" i="13"/>
  <c r="K25" i="13"/>
  <c r="J33" i="13"/>
  <c r="K44" i="13"/>
  <c r="J48" i="13"/>
  <c r="J57" i="13"/>
  <c r="J64" i="13"/>
  <c r="J73" i="13"/>
  <c r="J74" i="13"/>
  <c r="J88" i="13"/>
  <c r="J119" i="13"/>
  <c r="K143" i="13"/>
  <c r="J161" i="13"/>
  <c r="J165" i="13"/>
  <c r="J198" i="13"/>
  <c r="J202" i="13"/>
  <c r="F169" i="13"/>
  <c r="I169" i="13"/>
  <c r="K169" i="13" s="1"/>
  <c r="F68" i="13"/>
  <c r="N73" i="13"/>
  <c r="N219" i="13" s="1"/>
  <c r="F79" i="13"/>
  <c r="J214" i="13"/>
  <c r="F184" i="13"/>
  <c r="I184" i="13"/>
  <c r="J205" i="13"/>
  <c r="J209" i="13"/>
  <c r="R219" i="13" l="1"/>
  <c r="S219" i="13" s="1"/>
  <c r="K226" i="13"/>
  <c r="J219" i="13"/>
  <c r="S69" i="13"/>
  <c r="I219" i="13"/>
  <c r="I220" i="13" s="1"/>
  <c r="I221" i="13" s="1"/>
  <c r="S73" i="13"/>
  <c r="Q222" i="13"/>
  <c r="Q223" i="13" s="1"/>
  <c r="F219" i="13"/>
  <c r="E219" i="13" s="1"/>
  <c r="H219" i="13"/>
  <c r="M219" i="13"/>
  <c r="Q220" i="13"/>
  <c r="G219" i="13" l="1"/>
  <c r="K219" i="13"/>
  <c r="P219" i="13"/>
</calcChain>
</file>

<file path=xl/sharedStrings.xml><?xml version="1.0" encoding="utf-8"?>
<sst xmlns="http://schemas.openxmlformats.org/spreadsheetml/2006/main" count="595" uniqueCount="309">
  <si>
    <t>Водоснабжение</t>
  </si>
  <si>
    <t>Водоотведение</t>
  </si>
  <si>
    <t>Наименование организации</t>
  </si>
  <si>
    <t>№ п/п</t>
  </si>
  <si>
    <t>МО</t>
  </si>
  <si>
    <t>ООО "Коммунальщик Плюс"</t>
  </si>
  <si>
    <t>ООО "Управляющая компания жилищно-коммунального хозяйства пос. Солнечный"</t>
  </si>
  <si>
    <t xml:space="preserve">ООО "КОММУНАЛЬНЫЙ" </t>
  </si>
  <si>
    <t xml:space="preserve">ОАО «Российские железные дороги» в лице филиала – «Юго-Восточной дирекции по тепловодоснабжению» - структурного подразделения Центральной дирекции по тепловодоснабжению» (Белгородский территориальный участок) </t>
  </si>
  <si>
    <t>ООО "УК Конышевская"</t>
  </si>
  <si>
    <t>ООО "Водник"</t>
  </si>
  <si>
    <t>МУП ВЖКХ с.Коренево</t>
  </si>
  <si>
    <t>МУП ВКХ администрации Шептуховского сельсовета</t>
  </si>
  <si>
    <t>МУП ЖКХ "Родник"</t>
  </si>
  <si>
    <t>МУП Дружненское ЖКХ</t>
  </si>
  <si>
    <t>МУП "Иванинское ЖКХ"</t>
  </si>
  <si>
    <t>ООО "ЖКХ с. Мантурово"</t>
  </si>
  <si>
    <t>МБУ "ОХО" поселка Медвенка</t>
  </si>
  <si>
    <t>ООО "ЖКХ п. Прямицыно"</t>
  </si>
  <si>
    <t>ООО "Жилищно-коммунальный сервис п. Возы"</t>
  </si>
  <si>
    <t>МУП "Жилкомсервис п. Поныри"</t>
  </si>
  <si>
    <t>ООО "УниверсалСтройСервис"</t>
  </si>
  <si>
    <t>ФГБУ  "Санаторий "Марьино"</t>
  </si>
  <si>
    <t>МУП  "Водопроводного и жилищно-коммунального хозяйства" село Замостье при М.О. "Замостянский сельсовет"</t>
  </si>
  <si>
    <t>МУП "Водоканал-сервис" п.Черемисиново</t>
  </si>
  <si>
    <t>МУП "Курскводоканал"</t>
  </si>
  <si>
    <t>ООО "Водозабор"</t>
  </si>
  <si>
    <t>АО "ТЭСК"</t>
  </si>
  <si>
    <t>МУП "Горводоканал"</t>
  </si>
  <si>
    <t>МУП "ГТС"</t>
  </si>
  <si>
    <t>ООО "Водоканал"</t>
  </si>
  <si>
    <t>ОАО "Сахарный комбинат Льговский"</t>
  </si>
  <si>
    <t>МУП ВКХ г. Суджи</t>
  </si>
  <si>
    <t>МП "Водоканал"</t>
  </si>
  <si>
    <t>Курский район</t>
  </si>
  <si>
    <t>Советский район, Советский сс</t>
  </si>
  <si>
    <t>Хомутовский район, п. Хомутовка</t>
  </si>
  <si>
    <t>г. Курск</t>
  </si>
  <si>
    <t>г. Железногорск</t>
  </si>
  <si>
    <t>г. Курчатов</t>
  </si>
  <si>
    <t>г. Льгов</t>
  </si>
  <si>
    <t>г. Щигры</t>
  </si>
  <si>
    <t>г. Обоянь</t>
  </si>
  <si>
    <t>г. Суджа</t>
  </si>
  <si>
    <t>г. Дмитриев</t>
  </si>
  <si>
    <t>г. Фатеж</t>
  </si>
  <si>
    <t>МУП ЖКХ Беловского района</t>
  </si>
  <si>
    <t>Золотухинский район, Ануфриевский сс</t>
  </si>
  <si>
    <t>Золотухинский район, Донской сс</t>
  </si>
  <si>
    <t>Золотухинский район, Новоспасский</t>
  </si>
  <si>
    <t>Касторенский район, Котовский сс</t>
  </si>
  <si>
    <t>Конышевский район: Наумовский сс, Прилепский сс</t>
  </si>
  <si>
    <t>Конышевский район: Беляевский сс, Ваблинский сс, Захарковский сс, Малогородьковский сс, Машкинский сс, Платавский сс</t>
  </si>
  <si>
    <t>Льговский район, Селекционный сс</t>
  </si>
  <si>
    <t>Обоянский район: Бабинский сс, Быкановский сс</t>
  </si>
  <si>
    <t>Обоянский район: Гридасовский сс</t>
  </si>
  <si>
    <t>Обоянский район, Котельниковский сс</t>
  </si>
  <si>
    <t>Обоянский район, Рыбино-Будский сс</t>
  </si>
  <si>
    <t>Обоянский район, Шевелевский сс</t>
  </si>
  <si>
    <t>Обоянский район, Башкатовский сс</t>
  </si>
  <si>
    <t>Советский район, Ленинский сс</t>
  </si>
  <si>
    <t>Советский район, Краснодолинский сс</t>
  </si>
  <si>
    <t>Советский район, Верхнерагозецкий сс</t>
  </si>
  <si>
    <t>Советский район, Александровский сс</t>
  </si>
  <si>
    <t>Советский район, Волжанский сс</t>
  </si>
  <si>
    <t>Фатежский район: Банинский сс, Молотычевский сс</t>
  </si>
  <si>
    <t>Фатежский район, Большеанненковский сс</t>
  </si>
  <si>
    <t>Фатежский район, Большежировский сс</t>
  </si>
  <si>
    <t>Фатежский район, Верхнехотемльский сс</t>
  </si>
  <si>
    <t>Фатежский район, Верхнелюбажский сс</t>
  </si>
  <si>
    <t>Фатежский район, Глебовский сс</t>
  </si>
  <si>
    <t>Фатежский район, Миленинский сс</t>
  </si>
  <si>
    <t>Фатежский район, Русановский сс</t>
  </si>
  <si>
    <t>Фатежский район, Солдатский сс</t>
  </si>
  <si>
    <t>Щигровский район: Большезмеинский сс,Вишневский сс, Вышнеольховатский сс, Вязовский сс, Защитенский сс, Знаменский сс, Касиновский сс, Косоржанский сс, Кривцовский сс, Крутовский сс, Мелехинский сс, Никольский сс, Озерский сс, Теребужский сс, Титовский сс, Троицкотраснянский сс</t>
  </si>
  <si>
    <t>Большесолдатский район, Любимовский сс</t>
  </si>
  <si>
    <t>Курский район, Клюквинский сельсовет</t>
  </si>
  <si>
    <t>Курчатовский район, Чаплинский сс</t>
  </si>
  <si>
    <t>Курчатовский район, Дичнянский сс</t>
  </si>
  <si>
    <t>Железногорский район, Михайловский с/с</t>
  </si>
  <si>
    <t>Железногорский район, Новоандросовский с/с</t>
  </si>
  <si>
    <t>Железногорский район, Разветьевский с/с</t>
  </si>
  <si>
    <t>Железногорский район, Волковский с/с</t>
  </si>
  <si>
    <t>г.Рыльск</t>
  </si>
  <si>
    <t>Винниковский сельсовет</t>
  </si>
  <si>
    <t>Камышинский сельсовет</t>
  </si>
  <si>
    <t>Ноздрачевский сельсовет</t>
  </si>
  <si>
    <t>Полянский сельсовет</t>
  </si>
  <si>
    <t>Полевской сельсовет</t>
  </si>
  <si>
    <t>Рышковский сельсовет</t>
  </si>
  <si>
    <t>Новопоселеновский сельсовет</t>
  </si>
  <si>
    <t>Бесединский сельсовет</t>
  </si>
  <si>
    <t>Щетинский сельсовет, участок п.Искра</t>
  </si>
  <si>
    <t>Лебяженский сельсовет</t>
  </si>
  <si>
    <t>Шумаковский сельсовет</t>
  </si>
  <si>
    <t>Брежневский сельсовет</t>
  </si>
  <si>
    <t>Ворошневский сельсовет</t>
  </si>
  <si>
    <t>Пашковский сельсовет</t>
  </si>
  <si>
    <t>Моковский сельсовет</t>
  </si>
  <si>
    <t>ОКОУ "Школа-интернат  № 3" г. Курска"</t>
  </si>
  <si>
    <t>АО "Концерн Росэнергоатом" в лице филиала "Курская атомная станция"</t>
  </si>
  <si>
    <t>Железногорский район, Городновский с/с</t>
  </si>
  <si>
    <t>Железногорский район, Линецкий с/с</t>
  </si>
  <si>
    <t>Железногорский район, Рышковский с/с</t>
  </si>
  <si>
    <t>Железногорский район, Троицкий с/с</t>
  </si>
  <si>
    <t>Железногорский район, Кармановский с/с</t>
  </si>
  <si>
    <t>Железногорский район, Веретенинский с/с</t>
  </si>
  <si>
    <t>Горшеченский район: Богатыревский сс, Куньевский сс, Новомеловский сс, Солдатский сс, Быковский сс, Знаменский сс, Ключевский сс, Нижнеборковский сс, Никольский сс, Сосновский сс, Среднеапоченский сс, Старороговский сс, Удобенский сс, Ясеновский сс</t>
  </si>
  <si>
    <t>ФГБУ "ЦЖКУ"</t>
  </si>
  <si>
    <t>Льговский район, Иванчиковский сс</t>
  </si>
  <si>
    <t>Льговский район, Городенский сс</t>
  </si>
  <si>
    <t>Льговский район, Большеугонский сс</t>
  </si>
  <si>
    <t>Льговский район, Кудинцевский сс</t>
  </si>
  <si>
    <t>Льговский район, Густомойский сс</t>
  </si>
  <si>
    <t>МУП "Калиновское ЖКХ" Администрации Хомутовского района</t>
  </si>
  <si>
    <t>АО "Курскоблводоканал"</t>
  </si>
  <si>
    <t>ТСН "Водоснабжение Солнцевского района"</t>
  </si>
  <si>
    <t>Пристенский район п.Пристень</t>
  </si>
  <si>
    <t xml:space="preserve">Золотухинский район,  Свободинский сельсовет </t>
  </si>
  <si>
    <t>Глушковский район, п. Глушково</t>
  </si>
  <si>
    <t>МУП "ЖКХ п. Олымский"</t>
  </si>
  <si>
    <t>Касторенский район: п.Касторное</t>
  </si>
  <si>
    <t>Черемисиновский район: Стакановский сс, Русановский сс, Михайловский сс, Краснополянский сс, Удеревский сс, Ниженский сс, Покровский сс, Петровский сс</t>
  </si>
  <si>
    <t>МУП "Глушковское ЖКХ"</t>
  </si>
  <si>
    <t>Советский район, Нижнеграйворонский сс, Ледовский сс</t>
  </si>
  <si>
    <t>Касторенский район: Андреевский сс</t>
  </si>
  <si>
    <t>Щигровский район: Охочевский сс</t>
  </si>
  <si>
    <t>Мантуровский район: 2-ой Засеймский сс (с.Трубацкое, с.2-е Засеймье, д.Грачевка, с.Гущино)</t>
  </si>
  <si>
    <t>Мантуровский район: 2-ой Засеймский сс (д.Борзенково, с.Мяснянка, д.Нечаево)</t>
  </si>
  <si>
    <t>Мантуровский район: Куськинский сс (с.Куськино)</t>
  </si>
  <si>
    <t>Мантуровский район: Куськинский сс (с.Пузачи)</t>
  </si>
  <si>
    <t>Мантуровский район: Куськинский сс (с.Роговое)</t>
  </si>
  <si>
    <t>Мантуровский район: Останинский сс (с.Большие Бутырки)</t>
  </si>
  <si>
    <t>Мантуровский район: Отсанинский сс (с.Останино, х.Мочаги)</t>
  </si>
  <si>
    <t>Мантуровский район: Отсанинский сс (с.Репецкая плата, д.Екатериновка)</t>
  </si>
  <si>
    <t>Мантуровский район: Репецкий сс (с.Заречье)</t>
  </si>
  <si>
    <t>Мантуровский район: Репецкий сс (х.Заосколье, с.Репец, х.Угол)</t>
  </si>
  <si>
    <t>Мантуровский район: Ястребовский сс (д.Александровка, д.Бурцевка, с.Покровское, с.Крутые Верхи, д.Меловой Колодезь, д.Камышенка)</t>
  </si>
  <si>
    <t>Мантуровский район: Ястребовский сс (с.Стужень)</t>
  </si>
  <si>
    <t>Мантуровский район: Ястребовский сс (с.Ястребовка)</t>
  </si>
  <si>
    <t>Золотухинский район, п. Золотухино</t>
  </si>
  <si>
    <t>Конышевский район, Старобелицкий сс</t>
  </si>
  <si>
    <t>Горшеченский район, п. Горшечное</t>
  </si>
  <si>
    <t>Медвенский район, п. Медвенка</t>
  </si>
  <si>
    <t>Рыльский район, Крупецкий сельсовет</t>
  </si>
  <si>
    <t>Солнцевский район, Бунинский сс, Зуевский сс, Ивановский сс, Старолещинский сс, Субботинский сс, Шумаковский сс</t>
  </si>
  <si>
    <t>Мантуровский район, Мантуровский сельсовет</t>
  </si>
  <si>
    <t>Поныровский район, п.Поныри</t>
  </si>
  <si>
    <t>Рыльский район, Нехаевский сельсовет</t>
  </si>
  <si>
    <t>Мантуровский район, Сеймский сельсовет</t>
  </si>
  <si>
    <t>Поныровский район, п. Возы</t>
  </si>
  <si>
    <t>Рыльский район, Ивановский сельсовет</t>
  </si>
  <si>
    <t>Черемисиновский район, п. Черемисиново</t>
  </si>
  <si>
    <t>Кореневский район, Шептуховский сельсовет</t>
  </si>
  <si>
    <t>Конышевский район, п. Конышевка</t>
  </si>
  <si>
    <t>Курчатовский район, п.Иванино</t>
  </si>
  <si>
    <t>Обоянский район, Зоринский сельсовет</t>
  </si>
  <si>
    <t>Золотухинский район, Солнечный сельсовет</t>
  </si>
  <si>
    <t xml:space="preserve">Нижнемедведицкий сельсовет, в том числе </t>
  </si>
  <si>
    <t>участок д.Татаренкова</t>
  </si>
  <si>
    <t xml:space="preserve">участок п.Касиновский </t>
  </si>
  <si>
    <t>Глушковский район п. Теткино</t>
  </si>
  <si>
    <t>Беловский район, Долгобудский сс,</t>
  </si>
  <si>
    <t>Касторенский район, поселок Олымский</t>
  </si>
  <si>
    <t>Кореневский район поселок Коренево</t>
  </si>
  <si>
    <t>Кореневский район Кореневский сс, Любимовский сс, Толпинский сс, Ольговский сс, Снагостский сс</t>
  </si>
  <si>
    <t>Октябрьский район, поселок Прямицыно</t>
  </si>
  <si>
    <t>Рыльский район Ивановский сс</t>
  </si>
  <si>
    <t>Льговский район, Вышнедеревенский сельсовет</t>
  </si>
  <si>
    <t>Кореневский район, Пушкарский сс</t>
  </si>
  <si>
    <t>Курчатовский район, п. К. Либкнехта</t>
  </si>
  <si>
    <t>Поныровский район, с. Горяйново</t>
  </si>
  <si>
    <t>Суджанский район, Замостянский сс</t>
  </si>
  <si>
    <t>Хомутовский район, с. Калиновка</t>
  </si>
  <si>
    <t>Тарифы для населения     (с НДС), руб./куб.м</t>
  </si>
  <si>
    <t>Тарифы для населения            (с НДС), руб./куб.м</t>
  </si>
  <si>
    <t>ООО "Комфорт"</t>
  </si>
  <si>
    <t>г. Железногорск (транспортировка)</t>
  </si>
  <si>
    <t>г. Курчатов (транспортировка)</t>
  </si>
  <si>
    <t>АО "КСК "Новый курс"</t>
  </si>
  <si>
    <t>ООО "Промконсервы"</t>
  </si>
  <si>
    <t>ООО "КВК" (транспортировка)</t>
  </si>
  <si>
    <t>ООО "Курскхимволокно"</t>
  </si>
  <si>
    <t>ЗАО "ЕПТК" (транспортировка)</t>
  </si>
  <si>
    <t>Курчатовский район, Дичнянский сельсовет (транспортировка)</t>
  </si>
  <si>
    <t>Курчатовский район, Макаровский и Костельцевский сельсовет</t>
  </si>
  <si>
    <t>Курчатовский район, Колпаковский сельсовет</t>
  </si>
  <si>
    <t>ПАО "Квадра" - "Курская генерация"</t>
  </si>
  <si>
    <t>г. Курск (транспортировка)</t>
  </si>
  <si>
    <t>г. Курск (техническая вода)</t>
  </si>
  <si>
    <t>г. Курск (питьевая вода)</t>
  </si>
  <si>
    <t>г. Железногорск (питьевая вода)</t>
  </si>
  <si>
    <t>г. Железногорск (техническая вода)</t>
  </si>
  <si>
    <t>МУП "Курские городские коммунальные тепловые сети"</t>
  </si>
  <si>
    <t xml:space="preserve">филиал «Золотухинский»  ООО  «КУРСКСАХАРПРОМ» </t>
  </si>
  <si>
    <t>ООО "СЭМЗ"</t>
  </si>
  <si>
    <t>ООО "АкваБор Лимитед"</t>
  </si>
  <si>
    <t>г. Курск (подъем воды)</t>
  </si>
  <si>
    <t>ФКУ ИК-2 УФСИН России по Курской области</t>
  </si>
  <si>
    <t>г. Курск (очистка)</t>
  </si>
  <si>
    <t>ФКУ ИК-3 УФСИН России по Курской области</t>
  </si>
  <si>
    <t>ООО "Экопол" (региональный оператор)</t>
  </si>
  <si>
    <t>МКП "Рыльские коммунальные сети"</t>
  </si>
  <si>
    <t>Советский район, Михайлоанненский сс</t>
  </si>
  <si>
    <t>АО "Михайловский ГОК"</t>
  </si>
  <si>
    <t>МУП "Комфорт"</t>
  </si>
  <si>
    <t xml:space="preserve">Касторенский район: Алексеевский сс </t>
  </si>
  <si>
    <t xml:space="preserve">Касторенский район: Верхнеграйворонский сс </t>
  </si>
  <si>
    <t xml:space="preserve">Касторенский район: Краснознаменский сс </t>
  </si>
  <si>
    <t xml:space="preserve">Касторенский район: Ореховский сс </t>
  </si>
  <si>
    <t xml:space="preserve">Касторенский район: Краснодолинский сс </t>
  </si>
  <si>
    <t>Касторенский район: Егорьевский сс, Жерновецкий сс,Ленинский сс, Семеновский сс,Успенский сс</t>
  </si>
  <si>
    <t xml:space="preserve">Касторенский район: Лачиновский сс </t>
  </si>
  <si>
    <t>МУП "Коммунальное хозяйство "Суджанского района"</t>
  </si>
  <si>
    <t>Советский район, Мансуровский сс</t>
  </si>
  <si>
    <t>Большесолдатский район, Большесолдатский сс, Волоконский сс, Любостанский сс, Нижнегридинский сс, Саморядовский сс, Сторожевский сс</t>
  </si>
  <si>
    <t>Золотухинский район, Апальковский  сельсовет, Будановский сельсовет, Тазовский сельсовет</t>
  </si>
  <si>
    <t>г. Курчатов (питьевая вода)</t>
  </si>
  <si>
    <t>АО "Спецавтобаза по уборке города Курска" (региональный оператор)</t>
  </si>
  <si>
    <t>МУП "Хомутовское ЖКХ"</t>
  </si>
  <si>
    <t>Золотухинский район, Дмитриевский</t>
  </si>
  <si>
    <t>Обоянский район, Афанасьевский сс</t>
  </si>
  <si>
    <t>Обоянский район, Каменский сс</t>
  </si>
  <si>
    <t>Обоянский район, Рудавский сс</t>
  </si>
  <si>
    <t>Обоянский район, Усланский сс</t>
  </si>
  <si>
    <t>Щигровский район: Пригородненский сс</t>
  </si>
  <si>
    <t>Железногорский район, Студенокский с/с (д. Студенок)</t>
  </si>
  <si>
    <t>Железногорский район, Студенокский с/с (с. Трояново, с. Ольховка, п. Гавриловский)</t>
  </si>
  <si>
    <t>рост</t>
  </si>
  <si>
    <t>МУП "ЖКХ Глушковского района"</t>
  </si>
  <si>
    <t xml:space="preserve">Глушковский район,Алексеевский сс, Веселовский сс, Званновский сс, Карыжский сс, Кобыльской сс, Коровяковский сс, Кульбакинский сс, Марковский сс, Нижне Мордокский сс, Попово-Лежачанский сс, Сухиновский сс </t>
  </si>
  <si>
    <t>Тимский район п. Тим</t>
  </si>
  <si>
    <t>АО "Суджанский маслодельный комбинат"</t>
  </si>
  <si>
    <t>Железногорский район, п.Магнитный</t>
  </si>
  <si>
    <t>МУП "Коммунальные сети"</t>
  </si>
  <si>
    <t>АО "Электроагрегат"</t>
  </si>
  <si>
    <t xml:space="preserve">Мантуровский район: Мантуровский сс </t>
  </si>
  <si>
    <t>ВСЕГО</t>
  </si>
  <si>
    <t>ТСН "Водоснабжение Медвенского района"</t>
  </si>
  <si>
    <t>Медвенский район, Амосовский сс</t>
  </si>
  <si>
    <t>Медвенский район, Высокский сс</t>
  </si>
  <si>
    <t>Медвенский район, Вышнереутчанский сс</t>
  </si>
  <si>
    <t>Медвенский район, Гостомлянский сс</t>
  </si>
  <si>
    <t>Медвенский район, Китаевский сс</t>
  </si>
  <si>
    <t>Медвенский район, Паникинский сс</t>
  </si>
  <si>
    <t>Медвенский район, Панинский сс</t>
  </si>
  <si>
    <t>Медвенский район, Чермошнянский сс</t>
  </si>
  <si>
    <t>ТСН "Водоснабжение Нижнереутчанского сельсовета"</t>
  </si>
  <si>
    <t>Медвенский район, Нижнереутчанский сс</t>
  </si>
  <si>
    <t>2024 год</t>
  </si>
  <si>
    <t>Беловский сс, Бобравский сс, Беличанский сс, Гирьянскийсс, Песчанский сс, Ильковский сс, Коммунаровский сс, Кондратовский сс, Корочанский сс, Малосолдатский сс</t>
  </si>
  <si>
    <t>Клюквинский сельсовет, участок кроме п.им.маршала Жукова</t>
  </si>
  <si>
    <t>Щетинский сельсовет, участок кроме п. Искра</t>
  </si>
  <si>
    <t xml:space="preserve">Касторенский район: п. Новокасторное </t>
  </si>
  <si>
    <t>Советский район:    поселок Кшенский, Советский сс 2, Нижнеграйворонский сс 2</t>
  </si>
  <si>
    <t>Льговский район, Марицкий сс</t>
  </si>
  <si>
    <t>Касторенский район, Солнцевский район,Зуевский сельсовет, с. Сараевка, Курский район, Полевской сельсовет, д. Полевая,  Мантуровский район, Сеймский сельсовет, с. Кривец.</t>
  </si>
  <si>
    <t>Суджанский район, Борковский, Воробжанский, Гуевский, Малолокнянский, Мартыновский, Махновский, Новоивановский, Плеховский, Погребской, Пореченский, Гончаровский, Казачелокнянский, Заолешенский, Уланковский, Свердликовский сельсоветы</t>
  </si>
  <si>
    <t>ИП Рустем Мансур Исмаилович</t>
  </si>
  <si>
    <t>г.Курск</t>
  </si>
  <si>
    <t>ООО "Теткинское МУП ЖКХ"</t>
  </si>
  <si>
    <t>Рыльский район, Дуровский, Козинский, Щекинский, Малогнеушевский, Пригородненский, Михайловские сельсоветы</t>
  </si>
  <si>
    <t>Рыльский район, Студенокский, Некрасовский, Никольниковский сельсоветы</t>
  </si>
  <si>
    <t>Рыльский район Октябрьский сельсовет</t>
  </si>
  <si>
    <t>Курчатовский район, Дружненский сс,</t>
  </si>
  <si>
    <t>2025 год</t>
  </si>
  <si>
    <t>тариф с 01.01.2025 по 30.06.2025</t>
  </si>
  <si>
    <t>тариф с 01.07.2025 по 31.12.2025</t>
  </si>
  <si>
    <t>НВВ с 01.01.2025 по 30.06.2025</t>
  </si>
  <si>
    <t>НВВс 01.07.2025 по 31.12.2025</t>
  </si>
  <si>
    <t>НВВ с 01.07.2024 по 31.12.2024</t>
  </si>
  <si>
    <t>Объем по нас. (год) 2025 год, тыс.м3</t>
  </si>
  <si>
    <t>Объем по нас. 2025 (год), тыс. м3</t>
  </si>
  <si>
    <t>тариф с 01.07.2024 по 31.12.2024</t>
  </si>
  <si>
    <t>Брянский территориальный участок Московской дирекции по тепловодоснабжению структурного подразделения Центральной дирекции 
по тепловодоснабжению – 
филиал ОАО «РЖД»</t>
  </si>
  <si>
    <t>ООО "Санаторий им. И.Д. Черняховского"</t>
  </si>
  <si>
    <t>г.Курск с. Рышково</t>
  </si>
  <si>
    <t>83.</t>
  </si>
  <si>
    <t>84.</t>
  </si>
  <si>
    <t xml:space="preserve">МКУ "По обеспечению деятельности Администрации Тимского района </t>
  </si>
  <si>
    <t xml:space="preserve">сс. Барковский, сс. Быстрецкий, сс. Выгорновский, сс. Ленинский, сс. Погоженский, сс.Становский, сс. Тимский, сс. Успенский </t>
  </si>
  <si>
    <t>Клюквинский сельсовет, участок п.им.Маршала Жукова</t>
  </si>
  <si>
    <t>85.</t>
  </si>
  <si>
    <t>п. Солнцево</t>
  </si>
  <si>
    <t>Дружненский сс, Чалинский сс</t>
  </si>
  <si>
    <t>Викторовский сс, Комаровский сс</t>
  </si>
  <si>
    <t xml:space="preserve">МКУ "Управление ОДОМС" </t>
  </si>
  <si>
    <t xml:space="preserve">Хомутовский район, Романовский сс </t>
  </si>
  <si>
    <t>Хомутовский район,  Петровский сс, Дубовицкий сс, Ольховский сс, Сковородневский сс, Гламаздинский сс</t>
  </si>
  <si>
    <t>Рыльский район, Березниковский сс</t>
  </si>
  <si>
    <t>Сальновский сс</t>
  </si>
  <si>
    <t>тариф с 01.01.2026 по 30.09.2026</t>
  </si>
  <si>
    <t>тариф с 01.10.2026 по 31.12.2026</t>
  </si>
  <si>
    <t>2026 год</t>
  </si>
  <si>
    <t>Мантуровский район: Останинский сс (с.Останино, х.Мочаги)</t>
  </si>
  <si>
    <t>Мантуровский район: Останинский сс (с.Репецкая плата, д.Екатериновка)</t>
  </si>
  <si>
    <t>Советский район, Нижнеграйворонский сс</t>
  </si>
  <si>
    <t>Советский район, Ледовский сс</t>
  </si>
  <si>
    <t>МБУ "ЖКХ Курчатовского района"</t>
  </si>
  <si>
    <t>МУП "Конышевское ЖКХ"</t>
  </si>
  <si>
    <t>Муниципальное казенное учреждение "Сода"</t>
  </si>
  <si>
    <t>Пристенский район, Котовский сс, Нагольненский сс, Черновецкий сс, Бобрышевский сс, п. Кировский, Пристенский сс, Сазановский сс, Среднеольшанский сс, Ярыгинский сс</t>
  </si>
  <si>
    <t>Курский ГАУ</t>
  </si>
  <si>
    <t>Холодное водоснабжение</t>
  </si>
  <si>
    <t>Наименование муниципального образования</t>
  </si>
  <si>
    <t>Старогородский сельсовет</t>
  </si>
  <si>
    <t xml:space="preserve">г. Курск </t>
  </si>
  <si>
    <t>Клюквинский сельсовет, участок кроме п.им.Маршала Жукова</t>
  </si>
  <si>
    <t>Информация о тарифах на холодное водоснабжение и водоотведение для населения Курской области, установленных на 2026 год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</si>
</sst>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 #,##0.00_-;_-* &quot;-&quot;??_-;_-@_-"/>
    <numFmt numFmtId="165" formatCode="0.0"/>
    <numFmt numFmtId="166" formatCode="_-* #,##0.0_-;\-* #,##0.0_-;_-* &quot;-&quot;??_-;_-@_-"/>
    <numFmt numFmtId="167" formatCode="0.0000000"/>
  </numFmts>
  <fonts count="7" x14ac:knownFonts="1">
    <font>
      <sz val="11"/>
      <color theme="1"/>
      <name val="Calibri"/>
      <family val="2"/>
      <charset val="204"/>
      <scheme val="minor"/>
    </font>
    <font>
      <sz val="11"/>
      <color theme="1"/>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sz val="11"/>
      <name val="Calibri"/>
      <family val="2"/>
      <charset val="204"/>
      <scheme val="minor"/>
    </font>
    <font>
      <b/>
      <sz val="11"/>
      <name val="Calibri"/>
      <family val="2"/>
      <charset val="204"/>
      <scheme val="minor"/>
    </font>
  </fonts>
  <fills count="9">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7" tint="0.59999389629810485"/>
        <bgColor indexed="65"/>
      </patternFill>
    </fill>
    <fill>
      <patternFill patternType="solid">
        <fgColor theme="6"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6">
    <xf numFmtId="0" fontId="0" fillId="0" borderId="0"/>
    <xf numFmtId="164" fontId="1" fillId="0" borderId="0" applyFont="0" applyFill="0" applyBorder="0" applyAlignment="0" applyProtection="0"/>
    <xf numFmtId="0" fontId="2" fillId="4" borderId="0" applyNumberFormat="0" applyBorder="0" applyAlignment="0" applyProtection="0"/>
    <xf numFmtId="0" fontId="3" fillId="5" borderId="0" applyNumberFormat="0" applyBorder="0" applyAlignment="0" applyProtection="0"/>
    <xf numFmtId="0" fontId="4" fillId="6" borderId="0" applyNumberFormat="0" applyBorder="0" applyAlignment="0" applyProtection="0"/>
    <xf numFmtId="0" fontId="1" fillId="7" borderId="0" applyNumberFormat="0" applyBorder="0" applyAlignment="0" applyProtection="0"/>
  </cellStyleXfs>
  <cellXfs count="129">
    <xf numFmtId="0" fontId="0" fillId="0" borderId="0" xfId="0"/>
    <xf numFmtId="0" fontId="5" fillId="0" borderId="0" xfId="0" applyFont="1" applyAlignment="1">
      <alignment vertical="center" wrapText="1"/>
    </xf>
    <xf numFmtId="0" fontId="5" fillId="2" borderId="1" xfId="0" applyFont="1" applyFill="1" applyBorder="1" applyAlignment="1">
      <alignment vertical="center" wrapText="1"/>
    </xf>
    <xf numFmtId="2" fontId="5" fillId="0" borderId="0" xfId="0" applyNumberFormat="1" applyFont="1" applyAlignment="1">
      <alignment vertical="center" wrapText="1"/>
    </xf>
    <xf numFmtId="2" fontId="5" fillId="0" borderId="0" xfId="0" applyNumberFormat="1" applyFont="1" applyFill="1" applyAlignment="1">
      <alignment vertical="center" wrapText="1"/>
    </xf>
    <xf numFmtId="164" fontId="5" fillId="0" borderId="0" xfId="1" applyFont="1" applyAlignment="1">
      <alignment vertical="center" wrapText="1"/>
    </xf>
    <xf numFmtId="0" fontId="5" fillId="2" borderId="1" xfId="0" applyFont="1" applyFill="1" applyBorder="1" applyAlignment="1">
      <alignment horizontal="center" vertical="center" wrapText="1"/>
    </xf>
    <xf numFmtId="0" fontId="5" fillId="2" borderId="1" xfId="2" applyFont="1" applyFill="1" applyBorder="1" applyAlignment="1">
      <alignment vertical="center" wrapText="1"/>
    </xf>
    <xf numFmtId="0" fontId="5" fillId="2" borderId="1" xfId="3" applyFont="1" applyFill="1" applyBorder="1" applyAlignment="1">
      <alignment vertical="center" wrapText="1"/>
    </xf>
    <xf numFmtId="0" fontId="5" fillId="2" borderId="12" xfId="3" applyFont="1" applyFill="1" applyBorder="1" applyAlignment="1">
      <alignment vertical="center" wrapText="1"/>
    </xf>
    <xf numFmtId="0" fontId="5" fillId="2" borderId="1" xfId="5" applyFont="1" applyFill="1" applyBorder="1" applyAlignment="1">
      <alignment vertical="center" wrapText="1"/>
    </xf>
    <xf numFmtId="0" fontId="5" fillId="2" borderId="2" xfId="0" applyFont="1" applyFill="1" applyBorder="1" applyAlignment="1">
      <alignment vertical="center" wrapText="1"/>
    </xf>
    <xf numFmtId="2" fontId="5" fillId="2" borderId="11" xfId="4" applyNumberFormat="1" applyFont="1" applyFill="1" applyBorder="1" applyAlignment="1">
      <alignment vertical="center" wrapText="1"/>
    </xf>
    <xf numFmtId="2" fontId="5" fillId="2" borderId="1" xfId="2" applyNumberFormat="1" applyFont="1" applyFill="1" applyBorder="1" applyAlignment="1">
      <alignment vertical="center" wrapText="1"/>
    </xf>
    <xf numFmtId="2" fontId="5" fillId="2" borderId="12" xfId="2" applyNumberFormat="1" applyFont="1" applyFill="1" applyBorder="1" applyAlignment="1">
      <alignment vertical="center" wrapText="1"/>
    </xf>
    <xf numFmtId="2" fontId="5" fillId="2" borderId="1" xfId="0" applyNumberFormat="1" applyFont="1" applyFill="1" applyBorder="1" applyAlignment="1">
      <alignment vertical="center" wrapText="1"/>
    </xf>
    <xf numFmtId="2" fontId="5" fillId="2" borderId="12" xfId="0" applyNumberFormat="1" applyFont="1" applyFill="1" applyBorder="1" applyAlignment="1">
      <alignment vertical="center" wrapText="1"/>
    </xf>
    <xf numFmtId="0" fontId="5" fillId="2" borderId="5" xfId="0" applyFont="1" applyFill="1" applyBorder="1" applyAlignment="1">
      <alignment vertical="center" wrapText="1"/>
    </xf>
    <xf numFmtId="0" fontId="5" fillId="2" borderId="5" xfId="5" applyFont="1" applyFill="1" applyBorder="1" applyAlignment="1">
      <alignment vertical="center" wrapText="1"/>
    </xf>
    <xf numFmtId="0" fontId="0" fillId="2" borderId="3" xfId="0" applyFill="1" applyBorder="1" applyAlignment="1">
      <alignment vertical="center" wrapText="1"/>
    </xf>
    <xf numFmtId="0" fontId="5" fillId="2" borderId="6" xfId="0" applyFont="1" applyFill="1" applyBorder="1" applyAlignment="1">
      <alignment vertical="center" wrapText="1"/>
    </xf>
    <xf numFmtId="0" fontId="5" fillId="2" borderId="6" xfId="5" applyFont="1" applyFill="1" applyBorder="1" applyAlignment="1">
      <alignment vertical="center" wrapText="1"/>
    </xf>
    <xf numFmtId="0" fontId="0" fillId="2" borderId="6" xfId="0" applyFill="1" applyBorder="1" applyAlignment="1">
      <alignment vertical="center" wrapText="1"/>
    </xf>
    <xf numFmtId="0" fontId="0" fillId="2" borderId="6" xfId="0" applyFill="1" applyBorder="1" applyAlignment="1">
      <alignment horizontal="center" vertical="center" wrapText="1"/>
    </xf>
    <xf numFmtId="0" fontId="5" fillId="2" borderId="8" xfId="0" applyFont="1" applyFill="1" applyBorder="1" applyAlignment="1">
      <alignment horizontal="center" vertical="center" wrapText="1"/>
    </xf>
    <xf numFmtId="2" fontId="5" fillId="2" borderId="1" xfId="4" applyNumberFormat="1" applyFont="1" applyFill="1" applyBorder="1" applyAlignment="1">
      <alignment horizontal="center" vertical="center" wrapText="1"/>
    </xf>
    <xf numFmtId="2" fontId="5" fillId="2" borderId="1" xfId="2" applyNumberFormat="1" applyFont="1" applyFill="1" applyBorder="1" applyAlignment="1">
      <alignment horizontal="center" vertical="center" wrapText="1"/>
    </xf>
    <xf numFmtId="2" fontId="5" fillId="2" borderId="1" xfId="0" applyNumberFormat="1" applyFont="1" applyFill="1" applyBorder="1" applyAlignment="1">
      <alignment horizontal="center" vertical="center" wrapText="1"/>
    </xf>
    <xf numFmtId="0" fontId="5" fillId="2" borderId="1" xfId="0" applyFont="1" applyFill="1" applyBorder="1" applyAlignment="1">
      <alignment horizontal="right" vertical="center" wrapText="1"/>
    </xf>
    <xf numFmtId="0" fontId="5" fillId="2" borderId="5" xfId="5" applyFont="1" applyFill="1" applyBorder="1" applyAlignment="1">
      <alignment horizontal="left" vertical="center" wrapText="1"/>
    </xf>
    <xf numFmtId="0" fontId="5" fillId="2" borderId="3" xfId="5" applyFont="1" applyFill="1" applyBorder="1" applyAlignment="1">
      <alignment horizontal="left" vertical="center" wrapText="1"/>
    </xf>
    <xf numFmtId="2" fontId="1" fillId="2" borderId="11" xfId="4" applyNumberFormat="1" applyFont="1" applyFill="1" applyBorder="1" applyAlignment="1">
      <alignment vertical="center" wrapText="1"/>
    </xf>
    <xf numFmtId="2" fontId="5" fillId="2" borderId="12" xfId="0" applyNumberFormat="1" applyFont="1" applyFill="1" applyBorder="1" applyAlignment="1">
      <alignment horizontal="center" vertical="center" wrapText="1"/>
    </xf>
    <xf numFmtId="164" fontId="5" fillId="2" borderId="11" xfId="1" applyFont="1" applyFill="1" applyBorder="1" applyAlignment="1">
      <alignment vertical="center" wrapText="1"/>
    </xf>
    <xf numFmtId="164" fontId="5" fillId="2" borderId="1" xfId="1" applyFont="1" applyFill="1" applyBorder="1" applyAlignment="1">
      <alignment vertical="center" wrapText="1"/>
    </xf>
    <xf numFmtId="0" fontId="5" fillId="2" borderId="8" xfId="0" applyFont="1" applyFill="1" applyBorder="1" applyAlignment="1">
      <alignment vertical="center" wrapText="1"/>
    </xf>
    <xf numFmtId="2" fontId="5" fillId="2" borderId="17" xfId="4" applyNumberFormat="1" applyFont="1" applyFill="1" applyBorder="1" applyAlignment="1">
      <alignment vertical="center" wrapText="1"/>
    </xf>
    <xf numFmtId="2" fontId="5" fillId="2" borderId="5" xfId="2" applyNumberFormat="1" applyFont="1" applyFill="1" applyBorder="1" applyAlignment="1">
      <alignment vertical="center" wrapText="1"/>
    </xf>
    <xf numFmtId="2" fontId="5" fillId="2" borderId="18" xfId="2" applyNumberFormat="1" applyFont="1" applyFill="1" applyBorder="1" applyAlignment="1">
      <alignment vertical="center" wrapText="1"/>
    </xf>
    <xf numFmtId="2" fontId="5" fillId="2" borderId="5" xfId="0" applyNumberFormat="1" applyFont="1" applyFill="1" applyBorder="1" applyAlignment="1">
      <alignment vertical="center" wrapText="1"/>
    </xf>
    <xf numFmtId="2" fontId="5" fillId="2" borderId="18" xfId="0" applyNumberFormat="1" applyFont="1" applyFill="1" applyBorder="1" applyAlignment="1">
      <alignment vertical="center" wrapText="1"/>
    </xf>
    <xf numFmtId="0" fontId="5" fillId="2" borderId="5" xfId="4" applyFont="1" applyFill="1" applyBorder="1" applyAlignment="1">
      <alignment vertical="center" wrapText="1"/>
    </xf>
    <xf numFmtId="0" fontId="5" fillId="2" borderId="5" xfId="2" applyFont="1" applyFill="1" applyBorder="1" applyAlignment="1">
      <alignment vertical="center" wrapText="1"/>
    </xf>
    <xf numFmtId="0" fontId="5" fillId="2" borderId="1" xfId="4" applyFont="1" applyFill="1" applyBorder="1" applyAlignment="1">
      <alignment vertical="center" wrapText="1"/>
    </xf>
    <xf numFmtId="2" fontId="5" fillId="2" borderId="13" xfId="1" applyNumberFormat="1" applyFont="1" applyFill="1" applyBorder="1" applyAlignment="1">
      <alignment vertical="center" wrapText="1"/>
    </xf>
    <xf numFmtId="2" fontId="5" fillId="2" borderId="4" xfId="2" applyNumberFormat="1" applyFont="1" applyFill="1" applyBorder="1" applyAlignment="1">
      <alignment vertical="center" wrapText="1"/>
    </xf>
    <xf numFmtId="2" fontId="5" fillId="2" borderId="1" xfId="1" applyNumberFormat="1" applyFont="1" applyFill="1" applyBorder="1" applyAlignment="1">
      <alignment vertical="center" wrapText="1"/>
    </xf>
    <xf numFmtId="166" fontId="5" fillId="2" borderId="4" xfId="1" applyNumberFormat="1" applyFont="1" applyFill="1" applyBorder="1" applyAlignment="1">
      <alignment vertical="center" wrapText="1"/>
    </xf>
    <xf numFmtId="2" fontId="5" fillId="2" borderId="4" xfId="0" applyNumberFormat="1" applyFont="1" applyFill="1" applyBorder="1" applyAlignment="1">
      <alignment vertical="center" wrapText="1"/>
    </xf>
    <xf numFmtId="2" fontId="5" fillId="2" borderId="4" xfId="1" applyNumberFormat="1" applyFont="1" applyFill="1" applyBorder="1" applyAlignment="1">
      <alignment vertical="center" wrapText="1"/>
    </xf>
    <xf numFmtId="164" fontId="5" fillId="2" borderId="4" xfId="1" applyFont="1" applyFill="1" applyBorder="1" applyAlignment="1">
      <alignment vertical="center" wrapText="1"/>
    </xf>
    <xf numFmtId="0" fontId="5" fillId="2" borderId="0" xfId="0" applyFont="1" applyFill="1" applyAlignment="1">
      <alignment vertical="center" wrapText="1"/>
    </xf>
    <xf numFmtId="0" fontId="5" fillId="2" borderId="0" xfId="5" applyFont="1" applyFill="1" applyAlignment="1">
      <alignment vertical="center" wrapText="1"/>
    </xf>
    <xf numFmtId="0" fontId="5" fillId="2" borderId="0" xfId="4" applyFont="1" applyFill="1" applyAlignment="1">
      <alignment vertical="center" wrapText="1"/>
    </xf>
    <xf numFmtId="0" fontId="5" fillId="2" borderId="0" xfId="2" applyFont="1" applyFill="1" applyAlignment="1">
      <alignment vertical="center" wrapText="1"/>
    </xf>
    <xf numFmtId="2" fontId="5" fillId="2" borderId="0" xfId="2" applyNumberFormat="1" applyFont="1" applyFill="1" applyAlignment="1">
      <alignment vertical="center" wrapText="1"/>
    </xf>
    <xf numFmtId="2" fontId="5" fillId="2" borderId="0" xfId="0" applyNumberFormat="1" applyFont="1" applyFill="1" applyAlignment="1">
      <alignment vertical="center" wrapText="1"/>
    </xf>
    <xf numFmtId="165" fontId="5" fillId="2" borderId="1" xfId="2" applyNumberFormat="1" applyFont="1" applyFill="1" applyBorder="1" applyAlignment="1">
      <alignment vertical="center" wrapText="1"/>
    </xf>
    <xf numFmtId="167" fontId="5" fillId="0" borderId="0" xfId="0" applyNumberFormat="1" applyFont="1" applyAlignment="1">
      <alignment vertical="center" wrapText="1"/>
    </xf>
    <xf numFmtId="0" fontId="5" fillId="0" borderId="1" xfId="3" applyFont="1" applyFill="1" applyBorder="1" applyAlignment="1">
      <alignment vertical="center" wrapText="1"/>
    </xf>
    <xf numFmtId="2" fontId="5" fillId="0" borderId="1" xfId="2" applyNumberFormat="1" applyFont="1" applyFill="1" applyBorder="1" applyAlignment="1">
      <alignment vertical="center" wrapText="1"/>
    </xf>
    <xf numFmtId="2" fontId="5" fillId="0" borderId="1" xfId="0" applyNumberFormat="1" applyFont="1" applyFill="1" applyBorder="1" applyAlignment="1">
      <alignment vertical="center" wrapText="1"/>
    </xf>
    <xf numFmtId="2" fontId="5" fillId="0" borderId="5" xfId="0" applyNumberFormat="1" applyFont="1" applyFill="1" applyBorder="1" applyAlignment="1">
      <alignment vertical="center" wrapText="1"/>
    </xf>
    <xf numFmtId="0" fontId="5" fillId="0" borderId="5" xfId="2" applyFont="1" applyFill="1" applyBorder="1" applyAlignment="1">
      <alignment vertical="center" wrapText="1"/>
    </xf>
    <xf numFmtId="0" fontId="5" fillId="0" borderId="5" xfId="0" applyFont="1" applyFill="1" applyBorder="1" applyAlignment="1">
      <alignment vertical="center" wrapText="1"/>
    </xf>
    <xf numFmtId="0" fontId="5" fillId="0" borderId="1" xfId="0" applyFont="1" applyFill="1" applyBorder="1" applyAlignment="1">
      <alignment vertical="center" wrapText="1"/>
    </xf>
    <xf numFmtId="0" fontId="5" fillId="0" borderId="0" xfId="2" applyFont="1" applyFill="1" applyAlignment="1">
      <alignment vertical="center" wrapText="1"/>
    </xf>
    <xf numFmtId="0" fontId="5" fillId="0" borderId="0" xfId="0" applyFont="1" applyFill="1" applyAlignment="1">
      <alignment vertical="center" wrapText="1"/>
    </xf>
    <xf numFmtId="0" fontId="5" fillId="0" borderId="1" xfId="5" applyFont="1" applyFill="1" applyBorder="1" applyAlignment="1">
      <alignment vertical="center" wrapText="1"/>
    </xf>
    <xf numFmtId="0" fontId="5" fillId="0" borderId="2" xfId="0" applyFont="1" applyFill="1" applyBorder="1" applyAlignment="1">
      <alignment vertical="center" wrapText="1"/>
    </xf>
    <xf numFmtId="0" fontId="5" fillId="0" borderId="5" xfId="5" applyFont="1" applyFill="1" applyBorder="1" applyAlignment="1">
      <alignment vertical="center" wrapText="1"/>
    </xf>
    <xf numFmtId="0" fontId="0" fillId="0" borderId="3" xfId="0" applyFill="1" applyBorder="1" applyAlignment="1">
      <alignment vertical="center" wrapText="1"/>
    </xf>
    <xf numFmtId="0" fontId="5" fillId="0" borderId="6" xfId="5" applyFont="1" applyFill="1" applyBorder="1" applyAlignment="1">
      <alignment vertical="center" wrapText="1"/>
    </xf>
    <xf numFmtId="0" fontId="0" fillId="0" borderId="6" xfId="0" applyFill="1" applyBorder="1" applyAlignment="1">
      <alignment vertical="center" wrapText="1"/>
    </xf>
    <xf numFmtId="0" fontId="0" fillId="0" borderId="6" xfId="0" applyFill="1" applyBorder="1" applyAlignment="1">
      <alignment horizontal="center" vertical="center" wrapText="1"/>
    </xf>
    <xf numFmtId="0" fontId="5" fillId="0" borderId="5" xfId="5" applyFont="1" applyFill="1" applyBorder="1" applyAlignment="1">
      <alignment horizontal="left" vertical="center" wrapText="1"/>
    </xf>
    <xf numFmtId="0" fontId="5" fillId="0" borderId="3" xfId="5" applyFont="1" applyFill="1" applyBorder="1" applyAlignment="1">
      <alignment horizontal="left" vertical="center" wrapText="1"/>
    </xf>
    <xf numFmtId="0" fontId="5" fillId="0" borderId="8" xfId="0" applyFont="1" applyFill="1" applyBorder="1" applyAlignment="1">
      <alignment vertical="center" wrapText="1"/>
    </xf>
    <xf numFmtId="0" fontId="5" fillId="0" borderId="0" xfId="5" applyFont="1" applyFill="1" applyAlignment="1">
      <alignment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 xfId="5" applyFont="1" applyFill="1" applyBorder="1" applyAlignment="1">
      <alignment horizontal="center" vertical="center" wrapText="1"/>
    </xf>
    <xf numFmtId="0" fontId="5" fillId="0" borderId="6" xfId="5" applyFont="1" applyFill="1" applyBorder="1" applyAlignment="1">
      <alignment horizontal="center" vertical="center" wrapText="1"/>
    </xf>
    <xf numFmtId="0" fontId="5" fillId="0" borderId="3" xfId="5" applyFont="1" applyFill="1" applyBorder="1" applyAlignment="1">
      <alignment horizontal="center" vertical="center" wrapText="1"/>
    </xf>
    <xf numFmtId="0" fontId="6" fillId="0" borderId="20" xfId="5" applyFont="1" applyFill="1" applyBorder="1" applyAlignment="1">
      <alignment horizontal="center" vertical="center" wrapText="1"/>
    </xf>
    <xf numFmtId="0" fontId="5" fillId="0" borderId="5" xfId="5" applyFont="1" applyFill="1" applyBorder="1" applyAlignment="1">
      <alignment horizontal="center" vertical="top" wrapText="1"/>
    </xf>
    <xf numFmtId="0" fontId="5" fillId="0" borderId="6" xfId="5" applyFont="1" applyFill="1" applyBorder="1" applyAlignment="1">
      <alignment horizontal="center" vertical="top" wrapText="1"/>
    </xf>
    <xf numFmtId="0" fontId="5" fillId="0" borderId="3" xfId="5" applyFont="1" applyFill="1" applyBorder="1" applyAlignment="1">
      <alignment horizontal="center" vertical="top" wrapText="1"/>
    </xf>
    <xf numFmtId="0" fontId="5" fillId="0" borderId="1" xfId="0" applyFont="1" applyFill="1" applyBorder="1" applyAlignment="1">
      <alignment horizontal="center" vertical="center" wrapText="1"/>
    </xf>
    <xf numFmtId="0" fontId="5" fillId="0" borderId="19" xfId="3" applyFont="1" applyFill="1" applyBorder="1" applyAlignment="1">
      <alignment horizontal="center" vertical="center" wrapText="1"/>
    </xf>
    <xf numFmtId="0" fontId="5" fillId="0" borderId="20" xfId="3" applyFont="1" applyFill="1" applyBorder="1" applyAlignment="1">
      <alignment horizontal="center" vertical="center" wrapText="1"/>
    </xf>
    <xf numFmtId="0" fontId="5" fillId="0" borderId="2" xfId="3" applyFont="1" applyFill="1" applyBorder="1" applyAlignment="1">
      <alignment horizontal="center" vertical="center" wrapText="1"/>
    </xf>
    <xf numFmtId="0" fontId="5" fillId="0" borderId="7" xfId="3"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5" xfId="5" applyFont="1" applyFill="1" applyBorder="1" applyAlignment="1">
      <alignment horizontal="center" vertical="center" wrapText="1"/>
    </xf>
    <xf numFmtId="0" fontId="5" fillId="2" borderId="6" xfId="5" applyFont="1" applyFill="1" applyBorder="1" applyAlignment="1">
      <alignment horizontal="center" vertical="center" wrapText="1"/>
    </xf>
    <xf numFmtId="0" fontId="5" fillId="2" borderId="3" xfId="5"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 xfId="2" applyFont="1" applyFill="1" applyBorder="1" applyAlignment="1">
      <alignment horizontal="center" vertical="center" wrapText="1"/>
    </xf>
    <xf numFmtId="0" fontId="5" fillId="2" borderId="7" xfId="2" applyFont="1" applyFill="1" applyBorder="1" applyAlignment="1">
      <alignment horizontal="center" vertical="center" wrapText="1"/>
    </xf>
    <xf numFmtId="0" fontId="5" fillId="2" borderId="2" xfId="3" applyFont="1" applyFill="1" applyBorder="1" applyAlignment="1">
      <alignment horizontal="center" vertical="center" wrapText="1"/>
    </xf>
    <xf numFmtId="0" fontId="5" fillId="2" borderId="7" xfId="3" applyFont="1" applyFill="1" applyBorder="1" applyAlignment="1">
      <alignment horizontal="center" vertical="center" wrapText="1"/>
    </xf>
    <xf numFmtId="0" fontId="5" fillId="2" borderId="16" xfId="3" applyFont="1" applyFill="1" applyBorder="1" applyAlignment="1">
      <alignment horizontal="center" vertical="center" wrapText="1"/>
    </xf>
    <xf numFmtId="0" fontId="5" fillId="2" borderId="17" xfId="4" applyFont="1" applyFill="1" applyBorder="1" applyAlignment="1">
      <alignment horizontal="center" vertical="center" wrapText="1"/>
    </xf>
    <xf numFmtId="0" fontId="5" fillId="2" borderId="14" xfId="4" applyFont="1" applyFill="1" applyBorder="1" applyAlignment="1">
      <alignment horizontal="center" vertical="center" wrapText="1"/>
    </xf>
    <xf numFmtId="0" fontId="5" fillId="2" borderId="15" xfId="4"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5" fillId="2" borderId="19" xfId="2" applyFont="1" applyFill="1" applyBorder="1" applyAlignment="1">
      <alignment horizontal="center" vertical="center" wrapText="1"/>
    </xf>
    <xf numFmtId="0" fontId="5" fillId="2" borderId="20" xfId="2"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5" xfId="0" applyFont="1" applyFill="1" applyBorder="1" applyAlignment="1">
      <alignment horizontal="right" vertical="top" wrapText="1"/>
    </xf>
    <xf numFmtId="0" fontId="5" fillId="2" borderId="6" xfId="0" applyFont="1" applyFill="1" applyBorder="1" applyAlignment="1">
      <alignment horizontal="right" vertical="top" wrapText="1"/>
    </xf>
    <xf numFmtId="0" fontId="5" fillId="2" borderId="3" xfId="0" applyFont="1" applyFill="1" applyBorder="1" applyAlignment="1">
      <alignment horizontal="right" vertical="top" wrapText="1"/>
    </xf>
    <xf numFmtId="0" fontId="5" fillId="2" borderId="5" xfId="5" applyFont="1" applyFill="1" applyBorder="1" applyAlignment="1">
      <alignment horizontal="center" vertical="top" wrapText="1"/>
    </xf>
    <xf numFmtId="0" fontId="5" fillId="2" borderId="6" xfId="5" applyFont="1" applyFill="1" applyBorder="1" applyAlignment="1">
      <alignment horizontal="center" vertical="top" wrapText="1"/>
    </xf>
    <xf numFmtId="0" fontId="5" fillId="2" borderId="3" xfId="5" applyFont="1" applyFill="1" applyBorder="1" applyAlignment="1">
      <alignment horizontal="center" vertical="top" wrapText="1"/>
    </xf>
    <xf numFmtId="0" fontId="5" fillId="2" borderId="5" xfId="0" applyFont="1" applyFill="1" applyBorder="1" applyAlignment="1">
      <alignment horizontal="right" vertical="center" wrapText="1"/>
    </xf>
    <xf numFmtId="0" fontId="5" fillId="2" borderId="3" xfId="0" applyFont="1" applyFill="1" applyBorder="1" applyAlignment="1">
      <alignment horizontal="right" vertical="center" wrapText="1"/>
    </xf>
    <xf numFmtId="0" fontId="5" fillId="2" borderId="6" xfId="0" applyFont="1" applyFill="1" applyBorder="1" applyAlignment="1">
      <alignment horizontal="right" vertical="center" wrapText="1"/>
    </xf>
    <xf numFmtId="0" fontId="5" fillId="0" borderId="1" xfId="3" applyFont="1" applyFill="1" applyBorder="1" applyAlignment="1">
      <alignment horizontal="center" vertical="center" wrapText="1"/>
    </xf>
  </cellXfs>
  <cellStyles count="6">
    <cellStyle name="40% — акцент4" xfId="5" builtinId="43"/>
    <cellStyle name="Нейтральный" xfId="4" builtinId="28"/>
    <cellStyle name="Обычный" xfId="0" builtinId="0"/>
    <cellStyle name="Плохой" xfId="3" builtinId="27"/>
    <cellStyle name="Финансовый" xfId="1" builtinId="3"/>
    <cellStyle name="Хороший" xfId="2" builtinId="26"/>
  </cellStyles>
  <dxfs count="0"/>
  <tableStyles count="0" defaultTableStyle="TableStyleMedium9" defaultPivotStyle="PivotStyleLight16"/>
  <colors>
    <mruColors>
      <color rgb="FFFFEB9C"/>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I195"/>
  <sheetViews>
    <sheetView tabSelected="1" zoomScale="90" zoomScaleNormal="90" zoomScaleSheetLayoutView="70" workbookViewId="0">
      <pane xSplit="2" ySplit="5" topLeftCell="C6" activePane="bottomRight" state="frozen"/>
      <selection pane="topRight"/>
      <selection pane="bottomLeft"/>
      <selection pane="bottomRight" activeCell="L8" sqref="L8"/>
    </sheetView>
  </sheetViews>
  <sheetFormatPr defaultRowHeight="15" x14ac:dyDescent="0.25"/>
  <cols>
    <col min="1" max="1" width="25.5703125" style="78" customWidth="1"/>
    <col min="2" max="2" width="36.5703125" style="67" customWidth="1"/>
    <col min="3" max="3" width="10.5703125" style="66" customWidth="1"/>
    <col min="4" max="4" width="10.7109375" style="66" customWidth="1"/>
    <col min="5" max="5" width="11.140625" style="67" customWidth="1"/>
    <col min="6" max="6" width="11.42578125" style="67" customWidth="1"/>
    <col min="7" max="7" width="11.7109375" style="1" bestFit="1" customWidth="1"/>
    <col min="8" max="8" width="17.7109375" style="1" customWidth="1"/>
    <col min="9" max="9" width="16.7109375" style="1" customWidth="1"/>
    <col min="10" max="16384" width="9.140625" style="1"/>
  </cols>
  <sheetData>
    <row r="1" spans="1:8" ht="55.5" customHeight="1" x14ac:dyDescent="0.25">
      <c r="A1" s="85" t="s">
        <v>308</v>
      </c>
      <c r="B1" s="85"/>
      <c r="C1" s="85"/>
      <c r="D1" s="85"/>
      <c r="E1" s="85"/>
      <c r="F1" s="85"/>
    </row>
    <row r="2" spans="1:8" ht="27" customHeight="1" x14ac:dyDescent="0.25">
      <c r="A2" s="82" t="s">
        <v>2</v>
      </c>
      <c r="B2" s="79" t="s">
        <v>304</v>
      </c>
      <c r="C2" s="89" t="s">
        <v>303</v>
      </c>
      <c r="D2" s="89"/>
      <c r="E2" s="89" t="s">
        <v>1</v>
      </c>
      <c r="F2" s="89"/>
    </row>
    <row r="3" spans="1:8" ht="27" customHeight="1" x14ac:dyDescent="0.25">
      <c r="A3" s="83"/>
      <c r="B3" s="80"/>
      <c r="C3" s="90" t="s">
        <v>293</v>
      </c>
      <c r="D3" s="91"/>
      <c r="E3" s="89" t="s">
        <v>293</v>
      </c>
      <c r="F3" s="89"/>
    </row>
    <row r="4" spans="1:8" ht="59.25" customHeight="1" x14ac:dyDescent="0.25">
      <c r="A4" s="83"/>
      <c r="B4" s="80"/>
      <c r="C4" s="92" t="s">
        <v>174</v>
      </c>
      <c r="D4" s="93"/>
      <c r="E4" s="128" t="s">
        <v>175</v>
      </c>
      <c r="F4" s="128"/>
    </row>
    <row r="5" spans="1:8" ht="60" x14ac:dyDescent="0.25">
      <c r="A5" s="84"/>
      <c r="B5" s="81"/>
      <c r="C5" s="59" t="s">
        <v>291</v>
      </c>
      <c r="D5" s="59" t="s">
        <v>292</v>
      </c>
      <c r="E5" s="59" t="s">
        <v>291</v>
      </c>
      <c r="F5" s="59" t="s">
        <v>292</v>
      </c>
    </row>
    <row r="6" spans="1:8" ht="15" customHeight="1" x14ac:dyDescent="0.25">
      <c r="A6" s="68" t="s">
        <v>46</v>
      </c>
      <c r="B6" s="69" t="s">
        <v>162</v>
      </c>
      <c r="C6" s="60">
        <v>42.51</v>
      </c>
      <c r="D6" s="60">
        <v>49.4</v>
      </c>
      <c r="E6" s="61"/>
      <c r="F6" s="61"/>
    </row>
    <row r="7" spans="1:8" ht="92.25" customHeight="1" x14ac:dyDescent="0.25">
      <c r="A7" s="68"/>
      <c r="B7" s="69" t="s">
        <v>250</v>
      </c>
      <c r="C7" s="60">
        <v>72.540000000000006</v>
      </c>
      <c r="D7" s="60">
        <v>84.29</v>
      </c>
      <c r="E7" s="61"/>
      <c r="F7" s="61"/>
    </row>
    <row r="8" spans="1:8" ht="84" customHeight="1" x14ac:dyDescent="0.25">
      <c r="A8" s="70" t="s">
        <v>115</v>
      </c>
      <c r="B8" s="69" t="s">
        <v>215</v>
      </c>
      <c r="C8" s="60">
        <v>68.88</v>
      </c>
      <c r="D8" s="60">
        <v>80.040000000000006</v>
      </c>
      <c r="E8" s="61"/>
      <c r="F8" s="61"/>
    </row>
    <row r="9" spans="1:8" ht="84" customHeight="1" x14ac:dyDescent="0.25">
      <c r="A9" s="71"/>
      <c r="B9" s="69" t="s">
        <v>75</v>
      </c>
      <c r="C9" s="60">
        <v>58.4</v>
      </c>
      <c r="D9" s="60">
        <v>67.86</v>
      </c>
      <c r="E9" s="61"/>
      <c r="F9" s="61"/>
    </row>
    <row r="10" spans="1:8" ht="105" x14ac:dyDescent="0.25">
      <c r="A10" s="68" t="s">
        <v>229</v>
      </c>
      <c r="B10" s="69" t="s">
        <v>230</v>
      </c>
      <c r="C10" s="60">
        <v>45.47</v>
      </c>
      <c r="D10" s="60">
        <v>52.83</v>
      </c>
      <c r="E10" s="61"/>
      <c r="F10" s="61"/>
    </row>
    <row r="11" spans="1:8" ht="30" x14ac:dyDescent="0.25">
      <c r="A11" s="68" t="s">
        <v>5</v>
      </c>
      <c r="B11" s="69" t="s">
        <v>142</v>
      </c>
      <c r="C11" s="60">
        <v>57.22</v>
      </c>
      <c r="D11" s="60">
        <v>66.47</v>
      </c>
      <c r="E11" s="61">
        <v>64.61</v>
      </c>
      <c r="F11" s="61">
        <v>71.95</v>
      </c>
      <c r="H11" s="3"/>
    </row>
    <row r="12" spans="1:8" ht="120" x14ac:dyDescent="0.25">
      <c r="A12" s="70" t="s">
        <v>115</v>
      </c>
      <c r="B12" s="69" t="s">
        <v>107</v>
      </c>
      <c r="C12" s="60">
        <v>52.58</v>
      </c>
      <c r="D12" s="60">
        <v>61.1</v>
      </c>
      <c r="E12" s="61"/>
      <c r="F12" s="61"/>
      <c r="H12" s="3"/>
    </row>
    <row r="13" spans="1:8" ht="30" x14ac:dyDescent="0.25">
      <c r="A13" s="70" t="s">
        <v>115</v>
      </c>
      <c r="B13" s="69" t="s">
        <v>79</v>
      </c>
      <c r="C13" s="60">
        <v>53.33</v>
      </c>
      <c r="D13" s="60">
        <v>69.239999999999995</v>
      </c>
      <c r="E13" s="61">
        <v>29.05</v>
      </c>
      <c r="F13" s="61">
        <v>36.28</v>
      </c>
      <c r="H13" s="3"/>
    </row>
    <row r="14" spans="1:8" ht="30" x14ac:dyDescent="0.25">
      <c r="A14" s="72"/>
      <c r="B14" s="69" t="s">
        <v>80</v>
      </c>
      <c r="C14" s="60">
        <v>53.22</v>
      </c>
      <c r="D14" s="60">
        <v>61.84</v>
      </c>
      <c r="E14" s="61">
        <v>52.59</v>
      </c>
      <c r="F14" s="61">
        <v>61.11</v>
      </c>
      <c r="H14" s="3"/>
    </row>
    <row r="15" spans="1:8" ht="30" x14ac:dyDescent="0.25">
      <c r="A15" s="72"/>
      <c r="B15" s="69" t="s">
        <v>81</v>
      </c>
      <c r="C15" s="60">
        <v>53.33</v>
      </c>
      <c r="D15" s="60">
        <v>61.84</v>
      </c>
      <c r="E15" s="61">
        <v>73.510000000000005</v>
      </c>
      <c r="F15" s="61">
        <v>81.349999999999994</v>
      </c>
      <c r="H15" s="3"/>
    </row>
    <row r="16" spans="1:8" ht="30" x14ac:dyDescent="0.25">
      <c r="A16" s="72"/>
      <c r="B16" s="69" t="s">
        <v>226</v>
      </c>
      <c r="C16" s="60">
        <v>42.6</v>
      </c>
      <c r="D16" s="60">
        <v>54.47</v>
      </c>
      <c r="E16" s="61">
        <v>64.23</v>
      </c>
      <c r="F16" s="61">
        <v>74.64</v>
      </c>
      <c r="H16" s="3"/>
    </row>
    <row r="17" spans="1:8" ht="30" x14ac:dyDescent="0.25">
      <c r="A17" s="73"/>
      <c r="B17" s="69" t="s">
        <v>82</v>
      </c>
      <c r="C17" s="60">
        <v>31.84</v>
      </c>
      <c r="D17" s="60">
        <v>38.21</v>
      </c>
      <c r="E17" s="61">
        <v>0</v>
      </c>
      <c r="F17" s="61"/>
      <c r="H17" s="3"/>
    </row>
    <row r="18" spans="1:8" ht="45" x14ac:dyDescent="0.25">
      <c r="A18" s="73"/>
      <c r="B18" s="69" t="s">
        <v>227</v>
      </c>
      <c r="C18" s="60">
        <v>60.17</v>
      </c>
      <c r="D18" s="60">
        <v>69.92</v>
      </c>
      <c r="E18" s="61">
        <v>0</v>
      </c>
      <c r="F18" s="61"/>
      <c r="H18" s="3"/>
    </row>
    <row r="19" spans="1:8" ht="30" x14ac:dyDescent="0.25">
      <c r="A19" s="73"/>
      <c r="B19" s="69" t="s">
        <v>101</v>
      </c>
      <c r="C19" s="60">
        <v>60.17</v>
      </c>
      <c r="D19" s="60">
        <v>79.239999999999995</v>
      </c>
      <c r="E19" s="61">
        <v>0</v>
      </c>
      <c r="F19" s="61"/>
      <c r="H19" s="3"/>
    </row>
    <row r="20" spans="1:8" ht="30" customHeight="1" x14ac:dyDescent="0.25">
      <c r="A20" s="73"/>
      <c r="B20" s="69" t="s">
        <v>102</v>
      </c>
      <c r="C20" s="60">
        <v>60.17</v>
      </c>
      <c r="D20" s="60">
        <v>79.239999999999995</v>
      </c>
      <c r="E20" s="61">
        <v>0</v>
      </c>
      <c r="F20" s="61"/>
      <c r="H20" s="3"/>
    </row>
    <row r="21" spans="1:8" ht="30" x14ac:dyDescent="0.25">
      <c r="A21" s="73"/>
      <c r="B21" s="69" t="s">
        <v>103</v>
      </c>
      <c r="C21" s="60">
        <v>60.17</v>
      </c>
      <c r="D21" s="60">
        <v>69.92</v>
      </c>
      <c r="E21" s="61">
        <v>0</v>
      </c>
      <c r="F21" s="61"/>
      <c r="H21" s="3"/>
    </row>
    <row r="22" spans="1:8" x14ac:dyDescent="0.25">
      <c r="A22" s="73"/>
      <c r="B22" s="69" t="s">
        <v>104</v>
      </c>
      <c r="C22" s="60">
        <v>60.17</v>
      </c>
      <c r="D22" s="60">
        <v>79.239999999999995</v>
      </c>
      <c r="E22" s="61">
        <v>0</v>
      </c>
      <c r="F22" s="61"/>
      <c r="H22" s="3"/>
    </row>
    <row r="23" spans="1:8" ht="30" x14ac:dyDescent="0.25">
      <c r="A23" s="73"/>
      <c r="B23" s="69" t="s">
        <v>105</v>
      </c>
      <c r="C23" s="60">
        <v>60.17</v>
      </c>
      <c r="D23" s="60">
        <v>79.239999999999995</v>
      </c>
      <c r="E23" s="61">
        <v>0</v>
      </c>
      <c r="F23" s="61"/>
      <c r="H23" s="3"/>
    </row>
    <row r="24" spans="1:8" ht="30" x14ac:dyDescent="0.25">
      <c r="A24" s="73"/>
      <c r="B24" s="69" t="s">
        <v>106</v>
      </c>
      <c r="C24" s="60">
        <v>60.17</v>
      </c>
      <c r="D24" s="60">
        <v>79.239999999999995</v>
      </c>
      <c r="E24" s="61">
        <v>0</v>
      </c>
      <c r="F24" s="61"/>
      <c r="H24" s="3"/>
    </row>
    <row r="25" spans="1:8" x14ac:dyDescent="0.25">
      <c r="A25" s="71"/>
      <c r="B25" s="69" t="s">
        <v>233</v>
      </c>
      <c r="C25" s="60">
        <v>28.18</v>
      </c>
      <c r="D25" s="60">
        <v>32.74</v>
      </c>
      <c r="E25" s="61">
        <v>37.19</v>
      </c>
      <c r="F25" s="61">
        <v>43.21</v>
      </c>
      <c r="H25" s="3"/>
    </row>
    <row r="26" spans="1:8" ht="60" x14ac:dyDescent="0.25">
      <c r="A26" s="68" t="s">
        <v>6</v>
      </c>
      <c r="B26" s="69" t="s">
        <v>157</v>
      </c>
      <c r="C26" s="60">
        <v>54.02</v>
      </c>
      <c r="D26" s="60">
        <v>62.68</v>
      </c>
      <c r="E26" s="61">
        <v>67.930000000000007</v>
      </c>
      <c r="F26" s="61">
        <v>78.81</v>
      </c>
      <c r="H26" s="4"/>
    </row>
    <row r="27" spans="1:8" ht="30" x14ac:dyDescent="0.25">
      <c r="A27" s="70" t="s">
        <v>115</v>
      </c>
      <c r="B27" s="69" t="s">
        <v>118</v>
      </c>
      <c r="C27" s="60">
        <v>70.92</v>
      </c>
      <c r="D27" s="60">
        <v>82.41</v>
      </c>
      <c r="E27" s="61">
        <v>82.06</v>
      </c>
      <c r="F27" s="61">
        <v>95.36</v>
      </c>
      <c r="H27" s="3"/>
    </row>
    <row r="28" spans="1:8" ht="45" x14ac:dyDescent="0.25">
      <c r="A28" s="72"/>
      <c r="B28" s="69" t="s">
        <v>216</v>
      </c>
      <c r="C28" s="60">
        <v>73.489999999999995</v>
      </c>
      <c r="D28" s="60">
        <v>85.4</v>
      </c>
      <c r="E28" s="61"/>
      <c r="F28" s="61"/>
      <c r="H28" s="3"/>
    </row>
    <row r="29" spans="1:8" ht="30" x14ac:dyDescent="0.25">
      <c r="A29" s="73"/>
      <c r="B29" s="69" t="s">
        <v>47</v>
      </c>
      <c r="C29" s="60">
        <v>55.24</v>
      </c>
      <c r="D29" s="60">
        <v>73.2</v>
      </c>
      <c r="E29" s="61"/>
      <c r="F29" s="61"/>
      <c r="H29" s="3"/>
    </row>
    <row r="30" spans="1:8" x14ac:dyDescent="0.25">
      <c r="A30" s="73"/>
      <c r="B30" s="69" t="s">
        <v>48</v>
      </c>
      <c r="C30" s="60">
        <v>68.88</v>
      </c>
      <c r="D30" s="60">
        <v>73.540000000000006</v>
      </c>
      <c r="E30" s="61"/>
      <c r="F30" s="61"/>
      <c r="H30" s="3"/>
    </row>
    <row r="31" spans="1:8" x14ac:dyDescent="0.25">
      <c r="A31" s="73"/>
      <c r="B31" s="69" t="s">
        <v>49</v>
      </c>
      <c r="C31" s="60">
        <v>64.98</v>
      </c>
      <c r="D31" s="60">
        <v>75.510000000000005</v>
      </c>
      <c r="E31" s="61"/>
      <c r="F31" s="61"/>
      <c r="H31" s="3"/>
    </row>
    <row r="32" spans="1:8" x14ac:dyDescent="0.25">
      <c r="A32" s="71"/>
      <c r="B32" s="69" t="s">
        <v>220</v>
      </c>
      <c r="C32" s="60">
        <v>45.08</v>
      </c>
      <c r="D32" s="60">
        <v>58.15</v>
      </c>
      <c r="E32" s="61"/>
      <c r="F32" s="61"/>
      <c r="H32" s="3"/>
    </row>
    <row r="33" spans="1:8" ht="24" customHeight="1" x14ac:dyDescent="0.25">
      <c r="A33" s="68" t="s">
        <v>7</v>
      </c>
      <c r="B33" s="69" t="s">
        <v>140</v>
      </c>
      <c r="C33" s="60">
        <v>58.09</v>
      </c>
      <c r="D33" s="60">
        <v>58.09</v>
      </c>
      <c r="E33" s="61"/>
      <c r="F33" s="61"/>
      <c r="H33" s="3"/>
    </row>
    <row r="34" spans="1:8" ht="34.5" customHeight="1" x14ac:dyDescent="0.25">
      <c r="A34" s="68" t="s">
        <v>120</v>
      </c>
      <c r="B34" s="69" t="s">
        <v>163</v>
      </c>
      <c r="C34" s="60">
        <v>39.590000000000003</v>
      </c>
      <c r="D34" s="60">
        <v>46</v>
      </c>
      <c r="E34" s="61">
        <v>28.6</v>
      </c>
      <c r="F34" s="61">
        <v>33.229999999999997</v>
      </c>
      <c r="H34" s="3"/>
    </row>
    <row r="35" spans="1:8" ht="177" customHeight="1" x14ac:dyDescent="0.25">
      <c r="A35" s="68" t="s">
        <v>8</v>
      </c>
      <c r="B35" s="69" t="s">
        <v>256</v>
      </c>
      <c r="C35" s="60">
        <v>39.61</v>
      </c>
      <c r="D35" s="60">
        <v>45.96</v>
      </c>
      <c r="E35" s="61"/>
      <c r="F35" s="61"/>
      <c r="H35" s="3"/>
    </row>
    <row r="36" spans="1:8" ht="17.25" customHeight="1" x14ac:dyDescent="0.25">
      <c r="A36" s="70" t="s">
        <v>115</v>
      </c>
      <c r="B36" s="69" t="s">
        <v>125</v>
      </c>
      <c r="C36" s="60">
        <v>71.260000000000005</v>
      </c>
      <c r="D36" s="60">
        <v>82.76</v>
      </c>
      <c r="E36" s="61"/>
      <c r="F36" s="61"/>
      <c r="H36" s="3"/>
    </row>
    <row r="37" spans="1:8" ht="24.75" customHeight="1" x14ac:dyDescent="0.25">
      <c r="A37" s="73"/>
      <c r="B37" s="69" t="s">
        <v>206</v>
      </c>
      <c r="C37" s="60">
        <v>61.38</v>
      </c>
      <c r="D37" s="60">
        <v>71.319999999999993</v>
      </c>
      <c r="E37" s="61"/>
      <c r="F37" s="61"/>
      <c r="H37" s="3"/>
    </row>
    <row r="38" spans="1:8" ht="30.75" customHeight="1" x14ac:dyDescent="0.25">
      <c r="A38" s="73"/>
      <c r="B38" s="69" t="s">
        <v>207</v>
      </c>
      <c r="C38" s="60">
        <v>71.22</v>
      </c>
      <c r="D38" s="60">
        <v>82.76</v>
      </c>
      <c r="E38" s="61"/>
      <c r="F38" s="61"/>
      <c r="H38" s="3"/>
    </row>
    <row r="39" spans="1:8" ht="36.75" customHeight="1" x14ac:dyDescent="0.25">
      <c r="A39" s="73"/>
      <c r="B39" s="69" t="s">
        <v>208</v>
      </c>
      <c r="C39" s="60">
        <v>66.77</v>
      </c>
      <c r="D39" s="60">
        <v>77.59</v>
      </c>
      <c r="E39" s="61"/>
      <c r="F39" s="61"/>
      <c r="H39" s="3"/>
    </row>
    <row r="40" spans="1:8" ht="18" customHeight="1" x14ac:dyDescent="0.25">
      <c r="A40" s="73"/>
      <c r="B40" s="69" t="s">
        <v>209</v>
      </c>
      <c r="C40" s="60">
        <v>59.01</v>
      </c>
      <c r="D40" s="60">
        <v>68.58</v>
      </c>
      <c r="E40" s="61"/>
      <c r="F40" s="61"/>
      <c r="H40" s="3"/>
    </row>
    <row r="41" spans="1:8" ht="36.75" customHeight="1" x14ac:dyDescent="0.25">
      <c r="A41" s="73"/>
      <c r="B41" s="69" t="s">
        <v>211</v>
      </c>
      <c r="C41" s="60">
        <v>73.819999999999993</v>
      </c>
      <c r="D41" s="60">
        <v>85.78</v>
      </c>
      <c r="E41" s="61"/>
      <c r="F41" s="61"/>
      <c r="H41" s="3"/>
    </row>
    <row r="42" spans="1:8" ht="18" customHeight="1" x14ac:dyDescent="0.25">
      <c r="A42" s="73"/>
      <c r="B42" s="69" t="s">
        <v>212</v>
      </c>
      <c r="C42" s="60">
        <v>64.14</v>
      </c>
      <c r="D42" s="60">
        <v>74.37</v>
      </c>
      <c r="E42" s="61"/>
      <c r="F42" s="61"/>
      <c r="H42" s="3"/>
    </row>
    <row r="43" spans="1:8" ht="24.75" customHeight="1" x14ac:dyDescent="0.25">
      <c r="A43" s="73"/>
      <c r="B43" s="69" t="s">
        <v>210</v>
      </c>
      <c r="C43" s="60">
        <v>64</v>
      </c>
      <c r="D43" s="60">
        <v>74.37</v>
      </c>
      <c r="E43" s="61"/>
      <c r="F43" s="61"/>
      <c r="H43" s="3"/>
    </row>
    <row r="44" spans="1:8" ht="15" customHeight="1" x14ac:dyDescent="0.25">
      <c r="A44" s="73"/>
      <c r="B44" s="69" t="s">
        <v>50</v>
      </c>
      <c r="C44" s="60">
        <v>68.88</v>
      </c>
      <c r="D44" s="60">
        <v>80.040000000000006</v>
      </c>
      <c r="E44" s="61"/>
      <c r="F44" s="61"/>
      <c r="H44" s="3"/>
    </row>
    <row r="45" spans="1:8" ht="15.75" customHeight="1" x14ac:dyDescent="0.25">
      <c r="A45" s="73"/>
      <c r="B45" s="69" t="s">
        <v>121</v>
      </c>
      <c r="C45" s="60">
        <v>58.58</v>
      </c>
      <c r="D45" s="60">
        <v>68.08</v>
      </c>
      <c r="E45" s="61">
        <v>80.02</v>
      </c>
      <c r="F45" s="61">
        <v>92.99</v>
      </c>
      <c r="H45" s="3"/>
    </row>
    <row r="46" spans="1:8" ht="15.75" customHeight="1" x14ac:dyDescent="0.25">
      <c r="A46" s="71"/>
      <c r="B46" s="69" t="s">
        <v>253</v>
      </c>
      <c r="C46" s="60">
        <v>38.909999999999997</v>
      </c>
      <c r="D46" s="60">
        <v>45.21</v>
      </c>
      <c r="E46" s="61"/>
      <c r="F46" s="61"/>
      <c r="H46" s="3"/>
    </row>
    <row r="47" spans="1:8" x14ac:dyDescent="0.25">
      <c r="A47" s="68" t="s">
        <v>299</v>
      </c>
      <c r="B47" s="69" t="s">
        <v>154</v>
      </c>
      <c r="C47" s="60">
        <v>66.540000000000006</v>
      </c>
      <c r="D47" s="60">
        <v>73.040000000000006</v>
      </c>
      <c r="E47" s="61"/>
      <c r="F47" s="61"/>
      <c r="H47" s="3"/>
    </row>
    <row r="48" spans="1:8" ht="30" x14ac:dyDescent="0.25">
      <c r="A48" s="70" t="s">
        <v>115</v>
      </c>
      <c r="B48" s="69" t="s">
        <v>51</v>
      </c>
      <c r="C48" s="60">
        <v>53.2</v>
      </c>
      <c r="D48" s="60">
        <v>69.81</v>
      </c>
      <c r="E48" s="61"/>
      <c r="F48" s="61"/>
      <c r="H48" s="3"/>
    </row>
    <row r="49" spans="1:8" ht="30" x14ac:dyDescent="0.25">
      <c r="A49" s="73"/>
      <c r="B49" s="69" t="s">
        <v>141</v>
      </c>
      <c r="C49" s="60">
        <v>55.17</v>
      </c>
      <c r="D49" s="60">
        <v>72.709999999999994</v>
      </c>
      <c r="E49" s="61"/>
      <c r="F49" s="61"/>
      <c r="H49" s="3"/>
    </row>
    <row r="50" spans="1:8" ht="60" x14ac:dyDescent="0.25">
      <c r="A50" s="74"/>
      <c r="B50" s="69" t="s">
        <v>52</v>
      </c>
      <c r="C50" s="60">
        <v>63.85</v>
      </c>
      <c r="D50" s="60">
        <v>74.2</v>
      </c>
      <c r="E50" s="61"/>
      <c r="F50" s="61"/>
      <c r="H50" s="3"/>
    </row>
    <row r="51" spans="1:8" ht="30" x14ac:dyDescent="0.25">
      <c r="A51" s="68" t="s">
        <v>10</v>
      </c>
      <c r="B51" s="69" t="s">
        <v>164</v>
      </c>
      <c r="C51" s="60">
        <v>68.36</v>
      </c>
      <c r="D51" s="60">
        <v>76.040000000000006</v>
      </c>
      <c r="E51" s="61">
        <v>108.73</v>
      </c>
      <c r="F51" s="61">
        <v>121.12</v>
      </c>
      <c r="H51" s="3"/>
    </row>
    <row r="52" spans="1:8" x14ac:dyDescent="0.25">
      <c r="A52" s="86" t="s">
        <v>11</v>
      </c>
      <c r="B52" s="69" t="s">
        <v>169</v>
      </c>
      <c r="C52" s="60">
        <v>35.35</v>
      </c>
      <c r="D52" s="60">
        <v>41.08</v>
      </c>
      <c r="E52" s="61"/>
      <c r="F52" s="61"/>
      <c r="H52" s="3"/>
    </row>
    <row r="53" spans="1:8" ht="30" x14ac:dyDescent="0.25">
      <c r="A53" s="87"/>
      <c r="B53" s="69" t="s">
        <v>153</v>
      </c>
      <c r="C53" s="60">
        <v>67.061909999999997</v>
      </c>
      <c r="D53" s="60">
        <v>76.45</v>
      </c>
      <c r="E53" s="61"/>
      <c r="F53" s="61"/>
      <c r="H53" s="3"/>
    </row>
    <row r="54" spans="1:8" ht="45" x14ac:dyDescent="0.25">
      <c r="A54" s="87"/>
      <c r="B54" s="69" t="s">
        <v>165</v>
      </c>
      <c r="C54" s="60">
        <v>67.061909999999997</v>
      </c>
      <c r="D54" s="60">
        <v>76.45</v>
      </c>
      <c r="E54" s="61"/>
      <c r="F54" s="61"/>
      <c r="H54" s="3"/>
    </row>
    <row r="55" spans="1:8" x14ac:dyDescent="0.25">
      <c r="A55" s="88"/>
      <c r="B55" s="69" t="s">
        <v>285</v>
      </c>
      <c r="C55" s="60">
        <v>67.06</v>
      </c>
      <c r="D55" s="60">
        <v>76.45</v>
      </c>
      <c r="E55" s="61"/>
      <c r="F55" s="61"/>
      <c r="H55" s="3"/>
    </row>
    <row r="56" spans="1:8" ht="24.75" customHeight="1" x14ac:dyDescent="0.25">
      <c r="A56" s="68" t="s">
        <v>13</v>
      </c>
      <c r="B56" s="69" t="s">
        <v>34</v>
      </c>
      <c r="C56" s="60"/>
      <c r="D56" s="60"/>
      <c r="E56" s="61"/>
      <c r="F56" s="61"/>
      <c r="H56" s="3"/>
    </row>
    <row r="57" spans="1:8" x14ac:dyDescent="0.25">
      <c r="A57" s="68"/>
      <c r="B57" s="69" t="s">
        <v>91</v>
      </c>
      <c r="C57" s="60">
        <v>74.150000000000006</v>
      </c>
      <c r="D57" s="60">
        <v>81.12</v>
      </c>
      <c r="E57" s="61"/>
      <c r="F57" s="61"/>
      <c r="H57" s="3"/>
    </row>
    <row r="58" spans="1:8" x14ac:dyDescent="0.25">
      <c r="A58" s="68"/>
      <c r="B58" s="69" t="s">
        <v>95</v>
      </c>
      <c r="C58" s="60">
        <v>60.3</v>
      </c>
      <c r="D58" s="60">
        <v>66.099999999999994</v>
      </c>
      <c r="E58" s="61"/>
      <c r="F58" s="61"/>
      <c r="H58" s="3"/>
    </row>
    <row r="59" spans="1:8" x14ac:dyDescent="0.25">
      <c r="A59" s="68"/>
      <c r="B59" s="69" t="s">
        <v>84</v>
      </c>
      <c r="C59" s="60">
        <v>60.3</v>
      </c>
      <c r="D59" s="60">
        <v>66.099999999999994</v>
      </c>
      <c r="E59" s="61">
        <v>50.957999999999998</v>
      </c>
      <c r="F59" s="61">
        <v>59.21</v>
      </c>
      <c r="H59" s="3"/>
    </row>
    <row r="60" spans="1:8" x14ac:dyDescent="0.25">
      <c r="A60" s="68"/>
      <c r="B60" s="69" t="s">
        <v>96</v>
      </c>
      <c r="C60" s="60">
        <v>60.3</v>
      </c>
      <c r="D60" s="60">
        <v>66.099999999999994</v>
      </c>
      <c r="E60" s="61">
        <v>53.63</v>
      </c>
      <c r="F60" s="61">
        <v>62.32</v>
      </c>
      <c r="H60" s="3"/>
    </row>
    <row r="61" spans="1:8" x14ac:dyDescent="0.25">
      <c r="A61" s="68"/>
      <c r="B61" s="69" t="s">
        <v>85</v>
      </c>
      <c r="C61" s="60">
        <v>60.3</v>
      </c>
      <c r="D61" s="60">
        <v>66.099999999999994</v>
      </c>
      <c r="E61" s="61">
        <v>17.989199999999997</v>
      </c>
      <c r="F61" s="61">
        <v>20.91</v>
      </c>
      <c r="H61" s="3"/>
    </row>
    <row r="62" spans="1:8" ht="30" x14ac:dyDescent="0.25">
      <c r="A62" s="68"/>
      <c r="B62" s="69" t="s">
        <v>281</v>
      </c>
      <c r="C62" s="60">
        <v>32.444400000000002</v>
      </c>
      <c r="D62" s="60">
        <v>37.71</v>
      </c>
      <c r="E62" s="61">
        <v>50.957999999999998</v>
      </c>
      <c r="F62" s="61">
        <v>59.21</v>
      </c>
      <c r="H62" s="3"/>
    </row>
    <row r="63" spans="1:8" ht="30" x14ac:dyDescent="0.25">
      <c r="A63" s="68"/>
      <c r="B63" s="69" t="s">
        <v>307</v>
      </c>
      <c r="C63" s="60">
        <v>74.150000000000006</v>
      </c>
      <c r="D63" s="60">
        <v>81.12</v>
      </c>
      <c r="E63" s="61"/>
      <c r="F63" s="61"/>
      <c r="H63" s="3"/>
    </row>
    <row r="64" spans="1:8" x14ac:dyDescent="0.25">
      <c r="A64" s="68"/>
      <c r="B64" s="69" t="s">
        <v>93</v>
      </c>
      <c r="C64" s="60">
        <v>47.640599999999992</v>
      </c>
      <c r="D64" s="60">
        <v>54.82</v>
      </c>
      <c r="E64" s="61">
        <v>28.807799999999997</v>
      </c>
      <c r="F64" s="61">
        <v>30.51</v>
      </c>
      <c r="H64" s="3"/>
    </row>
    <row r="65" spans="1:8" x14ac:dyDescent="0.25">
      <c r="A65" s="68"/>
      <c r="B65" s="69" t="s">
        <v>98</v>
      </c>
      <c r="C65" s="60">
        <v>49.59</v>
      </c>
      <c r="D65" s="60">
        <v>54.82</v>
      </c>
      <c r="E65" s="61"/>
      <c r="F65" s="61"/>
      <c r="H65" s="3"/>
    </row>
    <row r="66" spans="1:8" ht="30" x14ac:dyDescent="0.25">
      <c r="A66" s="68"/>
      <c r="B66" s="69" t="s">
        <v>158</v>
      </c>
      <c r="C66" s="60">
        <v>58.33</v>
      </c>
      <c r="D66" s="60">
        <v>66</v>
      </c>
      <c r="E66" s="61"/>
      <c r="F66" s="61"/>
      <c r="H66" s="3"/>
    </row>
    <row r="67" spans="1:8" x14ac:dyDescent="0.25">
      <c r="A67" s="68"/>
      <c r="B67" s="69" t="s">
        <v>159</v>
      </c>
      <c r="C67" s="60"/>
      <c r="D67" s="60"/>
      <c r="E67" s="61">
        <v>53.636999999999993</v>
      </c>
      <c r="F67" s="61">
        <v>62.2</v>
      </c>
      <c r="H67" s="3"/>
    </row>
    <row r="68" spans="1:8" x14ac:dyDescent="0.25">
      <c r="A68" s="68"/>
      <c r="B68" s="69" t="s">
        <v>160</v>
      </c>
      <c r="C68" s="60"/>
      <c r="D68" s="60"/>
      <c r="E68" s="61">
        <v>59.79</v>
      </c>
      <c r="F68" s="61">
        <v>68.28</v>
      </c>
      <c r="H68" s="3"/>
    </row>
    <row r="69" spans="1:8" x14ac:dyDescent="0.25">
      <c r="A69" s="68"/>
      <c r="B69" s="69" t="s">
        <v>90</v>
      </c>
      <c r="C69" s="60">
        <v>58.322399999999988</v>
      </c>
      <c r="D69" s="60">
        <v>66.099999999999994</v>
      </c>
      <c r="E69" s="61"/>
      <c r="F69" s="61"/>
      <c r="H69" s="3"/>
    </row>
    <row r="70" spans="1:8" x14ac:dyDescent="0.25">
      <c r="A70" s="68"/>
      <c r="B70" s="69" t="s">
        <v>86</v>
      </c>
      <c r="C70" s="60">
        <v>60.3</v>
      </c>
      <c r="D70" s="60">
        <v>66.099999999999994</v>
      </c>
      <c r="E70" s="61"/>
      <c r="F70" s="61"/>
      <c r="H70" s="3"/>
    </row>
    <row r="71" spans="1:8" x14ac:dyDescent="0.25">
      <c r="A71" s="68"/>
      <c r="B71" s="69" t="s">
        <v>97</v>
      </c>
      <c r="C71" s="60">
        <v>32.843399999999995</v>
      </c>
      <c r="D71" s="60">
        <v>38.6</v>
      </c>
      <c r="E71" s="61"/>
      <c r="F71" s="61"/>
      <c r="H71" s="3"/>
    </row>
    <row r="72" spans="1:8" x14ac:dyDescent="0.25">
      <c r="A72" s="68"/>
      <c r="B72" s="69" t="s">
        <v>88</v>
      </c>
      <c r="C72" s="60">
        <v>60.3</v>
      </c>
      <c r="D72" s="60">
        <v>66.099999999999994</v>
      </c>
      <c r="E72" s="61"/>
      <c r="F72" s="61"/>
      <c r="H72" s="3"/>
    </row>
    <row r="73" spans="1:8" x14ac:dyDescent="0.25">
      <c r="A73" s="68"/>
      <c r="B73" s="69" t="s">
        <v>87</v>
      </c>
      <c r="C73" s="60">
        <v>60.3</v>
      </c>
      <c r="D73" s="60">
        <v>66.099999999999994</v>
      </c>
      <c r="E73" s="61">
        <v>40.971599999999995</v>
      </c>
      <c r="F73" s="61">
        <v>47.61</v>
      </c>
      <c r="H73" s="3"/>
    </row>
    <row r="74" spans="1:8" x14ac:dyDescent="0.25">
      <c r="A74" s="68"/>
      <c r="B74" s="69" t="s">
        <v>89</v>
      </c>
      <c r="C74" s="60">
        <v>46.557600000000001</v>
      </c>
      <c r="D74" s="60">
        <v>54.1</v>
      </c>
      <c r="E74" s="61"/>
      <c r="F74" s="61"/>
      <c r="H74" s="3"/>
    </row>
    <row r="75" spans="1:8" ht="30" x14ac:dyDescent="0.25">
      <c r="A75" s="68"/>
      <c r="B75" s="69" t="s">
        <v>92</v>
      </c>
      <c r="C75" s="60">
        <v>32.444400000000002</v>
      </c>
      <c r="D75" s="60">
        <v>37.71</v>
      </c>
      <c r="E75" s="61">
        <v>40.971599999999995</v>
      </c>
      <c r="F75" s="61">
        <v>47.61</v>
      </c>
      <c r="H75" s="3"/>
    </row>
    <row r="76" spans="1:8" ht="30" x14ac:dyDescent="0.25">
      <c r="A76" s="68"/>
      <c r="B76" s="69" t="s">
        <v>252</v>
      </c>
      <c r="C76" s="60">
        <v>38.873999999999995</v>
      </c>
      <c r="D76" s="60">
        <v>45.16</v>
      </c>
      <c r="E76" s="61">
        <v>53.63</v>
      </c>
      <c r="F76" s="61">
        <v>62.32</v>
      </c>
      <c r="H76" s="3"/>
    </row>
    <row r="77" spans="1:8" x14ac:dyDescent="0.25">
      <c r="A77" s="68"/>
      <c r="B77" s="69" t="s">
        <v>94</v>
      </c>
      <c r="C77" s="60">
        <v>60.3</v>
      </c>
      <c r="D77" s="60">
        <v>66.099999999999994</v>
      </c>
      <c r="E77" s="61"/>
      <c r="F77" s="61"/>
      <c r="H77" s="3"/>
    </row>
    <row r="78" spans="1:8" ht="30" x14ac:dyDescent="0.25">
      <c r="A78" s="68" t="s">
        <v>108</v>
      </c>
      <c r="B78" s="69" t="s">
        <v>76</v>
      </c>
      <c r="C78" s="60">
        <v>39.42</v>
      </c>
      <c r="D78" s="60">
        <v>46.36</v>
      </c>
      <c r="E78" s="61">
        <v>36.200000000000003</v>
      </c>
      <c r="F78" s="61">
        <v>42.57</v>
      </c>
      <c r="G78" s="58"/>
      <c r="H78" s="3"/>
    </row>
    <row r="79" spans="1:8" x14ac:dyDescent="0.25">
      <c r="A79" s="68" t="s">
        <v>115</v>
      </c>
      <c r="B79" s="69" t="s">
        <v>170</v>
      </c>
      <c r="C79" s="60">
        <v>72.739999999999995</v>
      </c>
      <c r="D79" s="60">
        <v>83.01</v>
      </c>
      <c r="E79" s="61">
        <v>43.27</v>
      </c>
      <c r="F79" s="61">
        <v>50.29</v>
      </c>
      <c r="H79" s="3"/>
    </row>
    <row r="80" spans="1:8" x14ac:dyDescent="0.25">
      <c r="A80" s="68" t="s">
        <v>15</v>
      </c>
      <c r="B80" s="69" t="s">
        <v>155</v>
      </c>
      <c r="C80" s="60">
        <v>59.91</v>
      </c>
      <c r="D80" s="60">
        <v>69.62</v>
      </c>
      <c r="E80" s="61">
        <v>59.24</v>
      </c>
      <c r="F80" s="61">
        <v>68.84</v>
      </c>
      <c r="H80" s="3"/>
    </row>
    <row r="81" spans="1:8" x14ac:dyDescent="0.25">
      <c r="A81" s="68"/>
      <c r="B81" s="69" t="s">
        <v>284</v>
      </c>
      <c r="C81" s="60">
        <v>66.23</v>
      </c>
      <c r="D81" s="60">
        <v>76.59</v>
      </c>
      <c r="E81" s="61"/>
      <c r="F81" s="61"/>
      <c r="H81" s="3"/>
    </row>
    <row r="82" spans="1:8" ht="30" x14ac:dyDescent="0.25">
      <c r="A82" s="68" t="s">
        <v>298</v>
      </c>
      <c r="B82" s="69" t="s">
        <v>78</v>
      </c>
      <c r="C82" s="60">
        <v>61.26</v>
      </c>
      <c r="D82" s="60">
        <v>68.23</v>
      </c>
      <c r="E82" s="61">
        <v>75.66</v>
      </c>
      <c r="F82" s="61">
        <v>84.29</v>
      </c>
      <c r="H82" s="3"/>
    </row>
    <row r="83" spans="1:8" ht="30" x14ac:dyDescent="0.25">
      <c r="A83" s="68"/>
      <c r="B83" s="69" t="s">
        <v>185</v>
      </c>
      <c r="C83" s="60">
        <v>70.709999999999994</v>
      </c>
      <c r="D83" s="60">
        <v>78.760000000000005</v>
      </c>
      <c r="E83" s="61"/>
      <c r="F83" s="61"/>
      <c r="H83" s="3"/>
    </row>
    <row r="84" spans="1:8" ht="30" x14ac:dyDescent="0.25">
      <c r="A84" s="68"/>
      <c r="B84" s="69" t="s">
        <v>186</v>
      </c>
      <c r="C84" s="60">
        <v>64.87</v>
      </c>
      <c r="D84" s="60">
        <v>72.260000000000005</v>
      </c>
      <c r="E84" s="61"/>
      <c r="F84" s="61"/>
      <c r="H84" s="3"/>
    </row>
    <row r="85" spans="1:8" ht="30" x14ac:dyDescent="0.25">
      <c r="A85" s="68" t="s">
        <v>115</v>
      </c>
      <c r="B85" s="69" t="s">
        <v>149</v>
      </c>
      <c r="C85" s="60">
        <v>58.62</v>
      </c>
      <c r="D85" s="60">
        <v>68.11</v>
      </c>
      <c r="E85" s="61">
        <v>65.48</v>
      </c>
      <c r="F85" s="61">
        <v>76.08</v>
      </c>
      <c r="H85" s="3"/>
    </row>
    <row r="86" spans="1:8" ht="30" x14ac:dyDescent="0.25">
      <c r="A86" s="68" t="s">
        <v>16</v>
      </c>
      <c r="B86" s="69" t="s">
        <v>146</v>
      </c>
      <c r="C86" s="60">
        <v>66.760000000000005</v>
      </c>
      <c r="D86" s="60">
        <v>69.28</v>
      </c>
      <c r="E86" s="61">
        <v>91.79</v>
      </c>
      <c r="F86" s="61">
        <v>91.76</v>
      </c>
      <c r="H86" s="3"/>
    </row>
    <row r="87" spans="1:8" ht="45" x14ac:dyDescent="0.25">
      <c r="A87" s="70" t="s">
        <v>115</v>
      </c>
      <c r="B87" s="69" t="s">
        <v>127</v>
      </c>
      <c r="C87" s="60">
        <v>63.92</v>
      </c>
      <c r="D87" s="60">
        <v>74.27</v>
      </c>
      <c r="E87" s="61"/>
      <c r="F87" s="61"/>
      <c r="H87" s="3"/>
    </row>
    <row r="88" spans="1:8" ht="45" x14ac:dyDescent="0.25">
      <c r="A88" s="73"/>
      <c r="B88" s="69" t="s">
        <v>128</v>
      </c>
      <c r="C88" s="60">
        <v>55.72</v>
      </c>
      <c r="D88" s="60">
        <v>64.75</v>
      </c>
      <c r="E88" s="61"/>
      <c r="F88" s="61"/>
      <c r="H88" s="3"/>
    </row>
    <row r="89" spans="1:8" ht="30" x14ac:dyDescent="0.25">
      <c r="A89" s="73"/>
      <c r="B89" s="69" t="s">
        <v>129</v>
      </c>
      <c r="C89" s="60">
        <v>71.760000000000005</v>
      </c>
      <c r="D89" s="60">
        <v>83.39</v>
      </c>
      <c r="E89" s="61"/>
      <c r="F89" s="61"/>
      <c r="H89" s="3"/>
    </row>
    <row r="90" spans="1:8" ht="30" x14ac:dyDescent="0.25">
      <c r="A90" s="73"/>
      <c r="B90" s="69" t="s">
        <v>130</v>
      </c>
      <c r="C90" s="60">
        <v>72.91</v>
      </c>
      <c r="D90" s="60">
        <v>84.72</v>
      </c>
      <c r="E90" s="61"/>
      <c r="F90" s="61"/>
      <c r="H90" s="3"/>
    </row>
    <row r="91" spans="1:8" ht="30" x14ac:dyDescent="0.25">
      <c r="A91" s="73"/>
      <c r="B91" s="69" t="s">
        <v>131</v>
      </c>
      <c r="C91" s="60">
        <v>72.91</v>
      </c>
      <c r="D91" s="60">
        <v>84.72</v>
      </c>
      <c r="E91" s="61"/>
      <c r="F91" s="61"/>
      <c r="H91" s="3"/>
    </row>
    <row r="92" spans="1:8" ht="30" x14ac:dyDescent="0.25">
      <c r="A92" s="73"/>
      <c r="B92" s="69" t="s">
        <v>132</v>
      </c>
      <c r="C92" s="60">
        <v>66.489999999999995</v>
      </c>
      <c r="D92" s="60">
        <v>77.260000000000005</v>
      </c>
      <c r="E92" s="61"/>
      <c r="F92" s="61"/>
      <c r="H92" s="3"/>
    </row>
    <row r="93" spans="1:8" ht="30" x14ac:dyDescent="0.25">
      <c r="A93" s="73"/>
      <c r="B93" s="69" t="s">
        <v>294</v>
      </c>
      <c r="C93" s="60">
        <v>71.28</v>
      </c>
      <c r="D93" s="60">
        <v>82.59</v>
      </c>
      <c r="E93" s="61"/>
      <c r="F93" s="61"/>
      <c r="H93" s="3"/>
    </row>
    <row r="94" spans="1:8" ht="30" x14ac:dyDescent="0.25">
      <c r="A94" s="73"/>
      <c r="B94" s="69" t="s">
        <v>295</v>
      </c>
      <c r="C94" s="60">
        <v>63.99</v>
      </c>
      <c r="D94" s="60">
        <v>74.27</v>
      </c>
      <c r="E94" s="61"/>
      <c r="F94" s="61"/>
      <c r="H94" s="3"/>
    </row>
    <row r="95" spans="1:8" ht="30" x14ac:dyDescent="0.25">
      <c r="A95" s="73"/>
      <c r="B95" s="69" t="s">
        <v>135</v>
      </c>
      <c r="C95" s="60">
        <v>73.14</v>
      </c>
      <c r="D95" s="60">
        <v>84.72</v>
      </c>
      <c r="E95" s="61"/>
      <c r="F95" s="61"/>
      <c r="H95" s="3"/>
    </row>
    <row r="96" spans="1:8" ht="30" x14ac:dyDescent="0.25">
      <c r="A96" s="73"/>
      <c r="B96" s="69" t="s">
        <v>136</v>
      </c>
      <c r="C96" s="60">
        <v>71.08</v>
      </c>
      <c r="D96" s="60">
        <v>82.59</v>
      </c>
      <c r="E96" s="61"/>
      <c r="F96" s="61"/>
      <c r="H96" s="3"/>
    </row>
    <row r="97" spans="1:8" ht="60" x14ac:dyDescent="0.25">
      <c r="A97" s="73"/>
      <c r="B97" s="69" t="s">
        <v>137</v>
      </c>
      <c r="C97" s="60">
        <v>62.24</v>
      </c>
      <c r="D97" s="60">
        <v>72.33</v>
      </c>
      <c r="E97" s="61"/>
      <c r="F97" s="61"/>
      <c r="H97" s="3"/>
    </row>
    <row r="98" spans="1:8" ht="30" x14ac:dyDescent="0.25">
      <c r="A98" s="73"/>
      <c r="B98" s="69" t="s">
        <v>138</v>
      </c>
      <c r="C98" s="60">
        <v>72.489999999999995</v>
      </c>
      <c r="D98" s="60">
        <v>84.24</v>
      </c>
      <c r="E98" s="61"/>
      <c r="F98" s="61"/>
      <c r="H98" s="3"/>
    </row>
    <row r="99" spans="1:8" ht="30" x14ac:dyDescent="0.25">
      <c r="A99" s="73"/>
      <c r="B99" s="69" t="s">
        <v>139</v>
      </c>
      <c r="C99" s="60">
        <v>73.709999999999994</v>
      </c>
      <c r="D99" s="60">
        <v>85.66</v>
      </c>
      <c r="E99" s="61"/>
      <c r="F99" s="61"/>
      <c r="H99" s="3"/>
    </row>
    <row r="100" spans="1:8" ht="30" x14ac:dyDescent="0.25">
      <c r="A100" s="71"/>
      <c r="B100" s="69" t="s">
        <v>236</v>
      </c>
      <c r="C100" s="60">
        <v>57.91</v>
      </c>
      <c r="D100" s="60">
        <v>67.3</v>
      </c>
      <c r="E100" s="61"/>
      <c r="F100" s="61"/>
      <c r="H100" s="3"/>
    </row>
    <row r="101" spans="1:8" ht="15" customHeight="1" x14ac:dyDescent="0.25">
      <c r="A101" s="70" t="s">
        <v>238</v>
      </c>
      <c r="B101" s="69" t="s">
        <v>239</v>
      </c>
      <c r="C101" s="60">
        <v>54.17</v>
      </c>
      <c r="D101" s="60">
        <v>62.95</v>
      </c>
      <c r="E101" s="61"/>
      <c r="F101" s="61"/>
      <c r="H101" s="3"/>
    </row>
    <row r="102" spans="1:8" x14ac:dyDescent="0.25">
      <c r="A102" s="73"/>
      <c r="B102" s="69" t="s">
        <v>240</v>
      </c>
      <c r="C102" s="60">
        <v>46.58</v>
      </c>
      <c r="D102" s="60">
        <v>54.13</v>
      </c>
      <c r="E102" s="61"/>
      <c r="F102" s="61"/>
      <c r="H102" s="3"/>
    </row>
    <row r="103" spans="1:8" ht="30" x14ac:dyDescent="0.25">
      <c r="A103" s="73"/>
      <c r="B103" s="69" t="s">
        <v>241</v>
      </c>
      <c r="C103" s="60">
        <v>54.17</v>
      </c>
      <c r="D103" s="60">
        <v>62.95</v>
      </c>
      <c r="E103" s="61"/>
      <c r="F103" s="61"/>
      <c r="H103" s="3"/>
    </row>
    <row r="104" spans="1:8" x14ac:dyDescent="0.25">
      <c r="A104" s="73"/>
      <c r="B104" s="69" t="s">
        <v>242</v>
      </c>
      <c r="C104" s="60">
        <v>54.17</v>
      </c>
      <c r="D104" s="60">
        <v>62.95</v>
      </c>
      <c r="E104" s="61"/>
      <c r="F104" s="61"/>
      <c r="H104" s="3"/>
    </row>
    <row r="105" spans="1:8" x14ac:dyDescent="0.25">
      <c r="A105" s="73"/>
      <c r="B105" s="69" t="s">
        <v>243</v>
      </c>
      <c r="C105" s="60">
        <v>50.34</v>
      </c>
      <c r="D105" s="60">
        <v>58.5</v>
      </c>
      <c r="E105" s="61"/>
      <c r="F105" s="61"/>
      <c r="H105" s="3"/>
    </row>
    <row r="106" spans="1:8" x14ac:dyDescent="0.25">
      <c r="A106" s="73"/>
      <c r="B106" s="69" t="s">
        <v>244</v>
      </c>
      <c r="C106" s="60">
        <v>32.15</v>
      </c>
      <c r="D106" s="60">
        <v>37.36</v>
      </c>
      <c r="E106" s="61"/>
      <c r="F106" s="61"/>
      <c r="H106" s="3"/>
    </row>
    <row r="107" spans="1:8" x14ac:dyDescent="0.25">
      <c r="A107" s="73"/>
      <c r="B107" s="69" t="s">
        <v>245</v>
      </c>
      <c r="C107" s="60">
        <v>46.58</v>
      </c>
      <c r="D107" s="60">
        <v>54.13</v>
      </c>
      <c r="E107" s="61"/>
      <c r="F107" s="61"/>
      <c r="H107" s="3"/>
    </row>
    <row r="108" spans="1:8" ht="30" x14ac:dyDescent="0.25">
      <c r="A108" s="71"/>
      <c r="B108" s="69" t="s">
        <v>246</v>
      </c>
      <c r="C108" s="60">
        <v>50.34</v>
      </c>
      <c r="D108" s="60">
        <v>58.5</v>
      </c>
      <c r="E108" s="61"/>
      <c r="F108" s="61"/>
      <c r="H108" s="3"/>
    </row>
    <row r="109" spans="1:8" ht="45" x14ac:dyDescent="0.25">
      <c r="A109" s="71" t="s">
        <v>247</v>
      </c>
      <c r="B109" s="69" t="s">
        <v>248</v>
      </c>
      <c r="C109" s="60">
        <v>56.58</v>
      </c>
      <c r="D109" s="60">
        <v>65.75</v>
      </c>
      <c r="E109" s="61"/>
      <c r="F109" s="61"/>
      <c r="H109" s="3"/>
    </row>
    <row r="110" spans="1:8" ht="30" x14ac:dyDescent="0.25">
      <c r="A110" s="68" t="s">
        <v>17</v>
      </c>
      <c r="B110" s="69" t="s">
        <v>143</v>
      </c>
      <c r="C110" s="60">
        <v>42.01</v>
      </c>
      <c r="D110" s="60">
        <v>43.54</v>
      </c>
      <c r="E110" s="61">
        <v>16.23</v>
      </c>
      <c r="F110" s="61">
        <v>16.23</v>
      </c>
      <c r="H110" s="3"/>
    </row>
    <row r="111" spans="1:8" ht="30" x14ac:dyDescent="0.25">
      <c r="A111" s="70" t="s">
        <v>115</v>
      </c>
      <c r="B111" s="69" t="s">
        <v>156</v>
      </c>
      <c r="C111" s="60">
        <v>65.540000000000006</v>
      </c>
      <c r="D111" s="60">
        <v>76.150000000000006</v>
      </c>
      <c r="E111" s="61"/>
      <c r="F111" s="61"/>
      <c r="H111" s="3"/>
    </row>
    <row r="112" spans="1:8" ht="30" x14ac:dyDescent="0.25">
      <c r="A112" s="73"/>
      <c r="B112" s="69" t="s">
        <v>54</v>
      </c>
      <c r="C112" s="60">
        <v>54.62</v>
      </c>
      <c r="D112" s="60">
        <v>63.46</v>
      </c>
      <c r="E112" s="61"/>
      <c r="F112" s="61"/>
      <c r="H112" s="3"/>
    </row>
    <row r="113" spans="1:8" x14ac:dyDescent="0.25">
      <c r="A113" s="73"/>
      <c r="B113" s="69" t="s">
        <v>55</v>
      </c>
      <c r="C113" s="60">
        <v>68.88</v>
      </c>
      <c r="D113" s="60">
        <v>80.040000000000006</v>
      </c>
      <c r="E113" s="61"/>
      <c r="F113" s="61"/>
      <c r="H113" s="3"/>
    </row>
    <row r="114" spans="1:8" ht="30" x14ac:dyDescent="0.25">
      <c r="A114" s="73"/>
      <c r="B114" s="69" t="s">
        <v>56</v>
      </c>
      <c r="C114" s="60">
        <v>24.24</v>
      </c>
      <c r="D114" s="60">
        <v>28.17</v>
      </c>
      <c r="E114" s="61"/>
      <c r="F114" s="61"/>
      <c r="H114" s="3"/>
    </row>
    <row r="115" spans="1:8" x14ac:dyDescent="0.25">
      <c r="A115" s="73"/>
      <c r="B115" s="69" t="s">
        <v>57</v>
      </c>
      <c r="C115" s="60">
        <v>33.270000000000003</v>
      </c>
      <c r="D115" s="60">
        <v>38.659999999999997</v>
      </c>
      <c r="E115" s="61"/>
      <c r="F115" s="61"/>
      <c r="H115" s="3"/>
    </row>
    <row r="116" spans="1:8" x14ac:dyDescent="0.25">
      <c r="A116" s="73"/>
      <c r="B116" s="69" t="s">
        <v>58</v>
      </c>
      <c r="C116" s="60">
        <v>46.14</v>
      </c>
      <c r="D116" s="60">
        <v>53.62</v>
      </c>
      <c r="E116" s="61"/>
      <c r="F116" s="61"/>
      <c r="H116" s="3"/>
    </row>
    <row r="117" spans="1:8" x14ac:dyDescent="0.25">
      <c r="A117" s="73"/>
      <c r="B117" s="69" t="s">
        <v>59</v>
      </c>
      <c r="C117" s="60">
        <v>45.26</v>
      </c>
      <c r="D117" s="60">
        <v>52.59</v>
      </c>
      <c r="E117" s="61"/>
      <c r="F117" s="61"/>
      <c r="H117" s="3"/>
    </row>
    <row r="118" spans="1:8" x14ac:dyDescent="0.25">
      <c r="A118" s="73"/>
      <c r="B118" s="69" t="s">
        <v>221</v>
      </c>
      <c r="C118" s="60">
        <v>58.54</v>
      </c>
      <c r="D118" s="60">
        <v>68.02</v>
      </c>
      <c r="E118" s="61"/>
      <c r="F118" s="61"/>
      <c r="H118" s="3"/>
    </row>
    <row r="119" spans="1:8" x14ac:dyDescent="0.25">
      <c r="A119" s="73"/>
      <c r="B119" s="69" t="s">
        <v>222</v>
      </c>
      <c r="C119" s="60">
        <v>41.69</v>
      </c>
      <c r="D119" s="60">
        <v>48.45</v>
      </c>
      <c r="E119" s="61"/>
      <c r="F119" s="61"/>
      <c r="H119" s="3"/>
    </row>
    <row r="120" spans="1:8" x14ac:dyDescent="0.25">
      <c r="A120" s="73"/>
      <c r="B120" s="69" t="s">
        <v>223</v>
      </c>
      <c r="C120" s="60">
        <v>33.93</v>
      </c>
      <c r="D120" s="60">
        <v>39.43</v>
      </c>
      <c r="E120" s="61"/>
      <c r="F120" s="61"/>
      <c r="H120" s="3"/>
    </row>
    <row r="121" spans="1:8" x14ac:dyDescent="0.25">
      <c r="A121" s="71"/>
      <c r="B121" s="69" t="s">
        <v>224</v>
      </c>
      <c r="C121" s="60">
        <v>39.64</v>
      </c>
      <c r="D121" s="60">
        <v>46.06</v>
      </c>
      <c r="E121" s="61"/>
      <c r="F121" s="61"/>
      <c r="H121" s="3"/>
    </row>
    <row r="122" spans="1:8" ht="30" x14ac:dyDescent="0.25">
      <c r="A122" s="68" t="s">
        <v>18</v>
      </c>
      <c r="B122" s="69" t="s">
        <v>166</v>
      </c>
      <c r="C122" s="60">
        <v>46.13</v>
      </c>
      <c r="D122" s="60">
        <v>53.6</v>
      </c>
      <c r="E122" s="61">
        <v>67.459999999999994</v>
      </c>
      <c r="F122" s="61">
        <v>78.39</v>
      </c>
      <c r="H122" s="3"/>
    </row>
    <row r="123" spans="1:8" ht="42" customHeight="1" x14ac:dyDescent="0.25">
      <c r="A123" s="75" t="s">
        <v>19</v>
      </c>
      <c r="B123" s="69" t="s">
        <v>171</v>
      </c>
      <c r="C123" s="60">
        <v>57.23</v>
      </c>
      <c r="D123" s="60">
        <v>60.61</v>
      </c>
      <c r="E123" s="61"/>
      <c r="F123" s="61"/>
      <c r="H123" s="3"/>
    </row>
    <row r="124" spans="1:8" ht="18.75" customHeight="1" x14ac:dyDescent="0.25">
      <c r="A124" s="76"/>
      <c r="B124" s="69" t="s">
        <v>150</v>
      </c>
      <c r="C124" s="60">
        <v>57.23</v>
      </c>
      <c r="D124" s="60">
        <v>60.61</v>
      </c>
      <c r="E124" s="61">
        <v>27.86</v>
      </c>
      <c r="F124" s="61">
        <v>32.590000000000003</v>
      </c>
      <c r="H124" s="3"/>
    </row>
    <row r="125" spans="1:8" ht="30" x14ac:dyDescent="0.25">
      <c r="A125" s="68" t="s">
        <v>20</v>
      </c>
      <c r="B125" s="69" t="s">
        <v>147</v>
      </c>
      <c r="C125" s="60">
        <v>52.5</v>
      </c>
      <c r="D125" s="60">
        <v>54</v>
      </c>
      <c r="E125" s="61">
        <v>59.87</v>
      </c>
      <c r="F125" s="61">
        <v>68.72</v>
      </c>
      <c r="H125" s="3"/>
    </row>
    <row r="126" spans="1:8" ht="75" x14ac:dyDescent="0.25">
      <c r="A126" s="68" t="s">
        <v>300</v>
      </c>
      <c r="B126" s="69" t="s">
        <v>301</v>
      </c>
      <c r="C126" s="60">
        <v>61.25</v>
      </c>
      <c r="D126" s="60">
        <v>68.23</v>
      </c>
      <c r="E126" s="61"/>
      <c r="F126" s="61"/>
      <c r="H126" s="3"/>
    </row>
    <row r="127" spans="1:8" ht="30" x14ac:dyDescent="0.25">
      <c r="A127" s="68" t="s">
        <v>21</v>
      </c>
      <c r="B127" s="69" t="s">
        <v>117</v>
      </c>
      <c r="C127" s="60">
        <v>61.86</v>
      </c>
      <c r="D127" s="60">
        <v>71.88</v>
      </c>
      <c r="E127" s="61">
        <v>36.83</v>
      </c>
      <c r="F127" s="61">
        <v>42.8</v>
      </c>
      <c r="H127" s="3"/>
    </row>
    <row r="128" spans="1:8" ht="30" x14ac:dyDescent="0.25">
      <c r="A128" s="82" t="s">
        <v>234</v>
      </c>
      <c r="B128" s="69" t="s">
        <v>144</v>
      </c>
      <c r="C128" s="60">
        <v>56.66</v>
      </c>
      <c r="D128" s="60">
        <v>60.24</v>
      </c>
      <c r="E128" s="61"/>
      <c r="F128" s="61"/>
      <c r="H128" s="3"/>
    </row>
    <row r="129" spans="1:8" ht="30" x14ac:dyDescent="0.25">
      <c r="A129" s="83"/>
      <c r="B129" s="69" t="s">
        <v>148</v>
      </c>
      <c r="C129" s="60">
        <v>54.51</v>
      </c>
      <c r="D129" s="60">
        <v>60.34</v>
      </c>
      <c r="E129" s="61"/>
      <c r="F129" s="61"/>
      <c r="H129" s="3"/>
    </row>
    <row r="130" spans="1:8" ht="66.75" customHeight="1" x14ac:dyDescent="0.25">
      <c r="A130" s="83"/>
      <c r="B130" s="69" t="s">
        <v>261</v>
      </c>
      <c r="C130" s="60">
        <v>54.51</v>
      </c>
      <c r="D130" s="60">
        <v>60.24</v>
      </c>
      <c r="E130" s="61"/>
      <c r="F130" s="61"/>
      <c r="H130" s="3"/>
    </row>
    <row r="131" spans="1:8" ht="23.25" customHeight="1" x14ac:dyDescent="0.25">
      <c r="A131" s="83"/>
      <c r="B131" s="69" t="s">
        <v>151</v>
      </c>
      <c r="C131" s="60">
        <v>54.51</v>
      </c>
      <c r="D131" s="60">
        <v>60.24</v>
      </c>
      <c r="E131" s="61">
        <v>55.79</v>
      </c>
      <c r="F131" s="61">
        <v>64.819999999999993</v>
      </c>
      <c r="H131" s="3"/>
    </row>
    <row r="132" spans="1:8" ht="42" customHeight="1" x14ac:dyDescent="0.25">
      <c r="A132" s="83"/>
      <c r="B132" s="69" t="s">
        <v>262</v>
      </c>
      <c r="C132" s="60">
        <v>56.66</v>
      </c>
      <c r="D132" s="60">
        <v>60.24</v>
      </c>
      <c r="E132" s="61"/>
      <c r="F132" s="61"/>
      <c r="H132" s="3"/>
    </row>
    <row r="133" spans="1:8" ht="23.25" customHeight="1" x14ac:dyDescent="0.25">
      <c r="A133" s="83"/>
      <c r="B133" s="69" t="s">
        <v>263</v>
      </c>
      <c r="C133" s="60">
        <v>56.66</v>
      </c>
      <c r="D133" s="60">
        <v>60.24</v>
      </c>
      <c r="E133" s="61"/>
      <c r="F133" s="61"/>
      <c r="H133" s="3"/>
    </row>
    <row r="134" spans="1:8" ht="23.25" customHeight="1" x14ac:dyDescent="0.25">
      <c r="A134" s="84"/>
      <c r="B134" s="69" t="s">
        <v>289</v>
      </c>
      <c r="C134" s="60">
        <v>58.62</v>
      </c>
      <c r="D134" s="60">
        <v>60.24</v>
      </c>
      <c r="E134" s="61"/>
      <c r="F134" s="61"/>
      <c r="H134" s="3"/>
    </row>
    <row r="135" spans="1:8" ht="30" x14ac:dyDescent="0.25">
      <c r="A135" s="68" t="s">
        <v>22</v>
      </c>
      <c r="B135" s="69" t="s">
        <v>167</v>
      </c>
      <c r="C135" s="60">
        <v>23.03</v>
      </c>
      <c r="D135" s="60">
        <v>26.96</v>
      </c>
      <c r="E135" s="61">
        <v>32.200000000000003</v>
      </c>
      <c r="F135" s="61">
        <v>37.15</v>
      </c>
      <c r="H135" s="3"/>
    </row>
    <row r="136" spans="1:8" x14ac:dyDescent="0.25">
      <c r="A136" s="70" t="s">
        <v>115</v>
      </c>
      <c r="B136" s="69" t="s">
        <v>60</v>
      </c>
      <c r="C136" s="60">
        <v>54.27</v>
      </c>
      <c r="D136" s="60">
        <v>71.64</v>
      </c>
      <c r="E136" s="61"/>
      <c r="F136" s="61"/>
      <c r="H136" s="3"/>
    </row>
    <row r="137" spans="1:8" ht="30" x14ac:dyDescent="0.25">
      <c r="A137" s="73"/>
      <c r="B137" s="69" t="s">
        <v>61</v>
      </c>
      <c r="C137" s="60">
        <v>59.83</v>
      </c>
      <c r="D137" s="60">
        <v>69.38</v>
      </c>
      <c r="E137" s="61"/>
      <c r="F137" s="61"/>
      <c r="H137" s="3"/>
    </row>
    <row r="138" spans="1:8" ht="30" x14ac:dyDescent="0.25">
      <c r="A138" s="73"/>
      <c r="B138" s="69" t="s">
        <v>62</v>
      </c>
      <c r="C138" s="60">
        <v>43.79</v>
      </c>
      <c r="D138" s="60">
        <v>56.49</v>
      </c>
      <c r="E138" s="61"/>
      <c r="F138" s="61"/>
      <c r="H138" s="3"/>
    </row>
    <row r="139" spans="1:8" x14ac:dyDescent="0.25">
      <c r="A139" s="73"/>
      <c r="B139" s="69" t="s">
        <v>63</v>
      </c>
      <c r="C139" s="60">
        <v>60.28</v>
      </c>
      <c r="D139" s="60">
        <v>70.040000000000006</v>
      </c>
      <c r="E139" s="61"/>
      <c r="F139" s="61"/>
      <c r="H139" s="3"/>
    </row>
    <row r="140" spans="1:8" x14ac:dyDescent="0.25">
      <c r="A140" s="73"/>
      <c r="B140" s="69" t="s">
        <v>35</v>
      </c>
      <c r="C140" s="60">
        <v>59.71</v>
      </c>
      <c r="D140" s="60">
        <v>69.38</v>
      </c>
      <c r="E140" s="61">
        <v>56.51</v>
      </c>
      <c r="F140" s="61">
        <v>65.66</v>
      </c>
      <c r="H140" s="3"/>
    </row>
    <row r="141" spans="1:8" ht="30" x14ac:dyDescent="0.25">
      <c r="A141" s="73"/>
      <c r="B141" s="69" t="s">
        <v>296</v>
      </c>
      <c r="C141" s="60">
        <v>68.88</v>
      </c>
      <c r="D141" s="60">
        <v>77.42</v>
      </c>
      <c r="E141" s="61"/>
      <c r="F141" s="61"/>
      <c r="H141" s="3"/>
    </row>
    <row r="142" spans="1:8" x14ac:dyDescent="0.25">
      <c r="A142" s="73"/>
      <c r="B142" s="69" t="s">
        <v>297</v>
      </c>
      <c r="C142" s="60">
        <v>68.88</v>
      </c>
      <c r="D142" s="60">
        <v>80.040000000000006</v>
      </c>
      <c r="E142" s="61"/>
      <c r="F142" s="61"/>
      <c r="H142" s="3"/>
    </row>
    <row r="143" spans="1:8" x14ac:dyDescent="0.25">
      <c r="A143" s="73"/>
      <c r="B143" s="69" t="s">
        <v>64</v>
      </c>
      <c r="C143" s="60">
        <v>31.28</v>
      </c>
      <c r="D143" s="60">
        <v>37.54</v>
      </c>
      <c r="E143" s="61"/>
      <c r="F143" s="61"/>
      <c r="H143" s="3"/>
    </row>
    <row r="144" spans="1:8" x14ac:dyDescent="0.25">
      <c r="A144" s="73"/>
      <c r="B144" s="69" t="s">
        <v>214</v>
      </c>
      <c r="C144" s="60">
        <v>49.87</v>
      </c>
      <c r="D144" s="60">
        <v>65.34</v>
      </c>
      <c r="E144" s="61"/>
      <c r="F144" s="61"/>
      <c r="H144" s="3"/>
    </row>
    <row r="145" spans="1:8" ht="30" x14ac:dyDescent="0.25">
      <c r="A145" s="73"/>
      <c r="B145" s="69" t="s">
        <v>203</v>
      </c>
      <c r="C145" s="60">
        <v>66.84</v>
      </c>
      <c r="D145" s="60">
        <v>72.58</v>
      </c>
      <c r="E145" s="61"/>
      <c r="F145" s="61"/>
      <c r="H145" s="3"/>
    </row>
    <row r="146" spans="1:8" ht="45" x14ac:dyDescent="0.25">
      <c r="A146" s="71"/>
      <c r="B146" s="69" t="s">
        <v>254</v>
      </c>
      <c r="C146" s="60">
        <v>58.32</v>
      </c>
      <c r="D146" s="60">
        <v>67.760000000000005</v>
      </c>
      <c r="E146" s="61">
        <v>43.64</v>
      </c>
      <c r="F146" s="61">
        <v>50.7</v>
      </c>
      <c r="H146" s="3"/>
    </row>
    <row r="147" spans="1:8" ht="45" customHeight="1" x14ac:dyDescent="0.25">
      <c r="A147" s="68" t="s">
        <v>116</v>
      </c>
      <c r="B147" s="69" t="s">
        <v>145</v>
      </c>
      <c r="C147" s="60">
        <v>54.24</v>
      </c>
      <c r="D147" s="60">
        <v>63.03</v>
      </c>
      <c r="E147" s="61"/>
      <c r="F147" s="61"/>
      <c r="H147" s="3"/>
    </row>
    <row r="148" spans="1:8" x14ac:dyDescent="0.25">
      <c r="A148" s="68" t="s">
        <v>115</v>
      </c>
      <c r="B148" s="69" t="s">
        <v>231</v>
      </c>
      <c r="C148" s="60">
        <v>51.07</v>
      </c>
      <c r="D148" s="60">
        <v>59.34</v>
      </c>
      <c r="E148" s="61">
        <v>87.39</v>
      </c>
      <c r="F148" s="61">
        <v>101.54</v>
      </c>
      <c r="H148" s="3"/>
    </row>
    <row r="149" spans="1:8" x14ac:dyDescent="0.25">
      <c r="A149" s="68" t="s">
        <v>219</v>
      </c>
      <c r="B149" s="69" t="s">
        <v>36</v>
      </c>
      <c r="C149" s="60">
        <v>46.65</v>
      </c>
      <c r="D149" s="60">
        <v>54.14</v>
      </c>
      <c r="E149" s="61">
        <v>56.5</v>
      </c>
      <c r="F149" s="61">
        <v>65.650000000000006</v>
      </c>
      <c r="H149" s="3"/>
    </row>
    <row r="150" spans="1:8" ht="56.25" customHeight="1" x14ac:dyDescent="0.25">
      <c r="A150" s="82" t="s">
        <v>114</v>
      </c>
      <c r="B150" s="69" t="s">
        <v>288</v>
      </c>
      <c r="C150" s="60">
        <v>51.29</v>
      </c>
      <c r="D150" s="60">
        <v>57.13</v>
      </c>
      <c r="E150" s="61"/>
      <c r="F150" s="61"/>
      <c r="H150" s="3"/>
    </row>
    <row r="151" spans="1:8" ht="17.25" customHeight="1" x14ac:dyDescent="0.25">
      <c r="A151" s="83"/>
      <c r="B151" s="69" t="s">
        <v>290</v>
      </c>
      <c r="C151" s="60">
        <v>42.24</v>
      </c>
      <c r="D151" s="60">
        <v>45.72</v>
      </c>
      <c r="E151" s="61"/>
      <c r="F151" s="61"/>
      <c r="H151" s="3"/>
    </row>
    <row r="152" spans="1:8" x14ac:dyDescent="0.25">
      <c r="A152" s="83"/>
      <c r="B152" s="69" t="s">
        <v>287</v>
      </c>
      <c r="C152" s="60">
        <v>44.34</v>
      </c>
      <c r="D152" s="60">
        <v>49.37</v>
      </c>
      <c r="E152" s="61"/>
      <c r="F152" s="61"/>
      <c r="H152" s="3"/>
    </row>
    <row r="153" spans="1:8" x14ac:dyDescent="0.25">
      <c r="A153" s="84"/>
      <c r="B153" s="69" t="s">
        <v>173</v>
      </c>
      <c r="C153" s="60">
        <v>29.24</v>
      </c>
      <c r="D153" s="60">
        <v>34.96</v>
      </c>
      <c r="E153" s="61">
        <v>10.27</v>
      </c>
      <c r="F153" s="61">
        <v>11.22</v>
      </c>
      <c r="H153" s="3"/>
    </row>
    <row r="154" spans="1:8" ht="30" x14ac:dyDescent="0.25">
      <c r="A154" s="68" t="s">
        <v>24</v>
      </c>
      <c r="B154" s="69" t="s">
        <v>152</v>
      </c>
      <c r="C154" s="60">
        <v>48.79</v>
      </c>
      <c r="D154" s="60">
        <v>52.11</v>
      </c>
      <c r="E154" s="61">
        <v>65.64</v>
      </c>
      <c r="F154" s="61">
        <v>69.510000000000005</v>
      </c>
      <c r="H154" s="3"/>
    </row>
    <row r="155" spans="1:8" x14ac:dyDescent="0.25">
      <c r="A155" s="70" t="s">
        <v>115</v>
      </c>
      <c r="B155" s="69" t="s">
        <v>255</v>
      </c>
      <c r="C155" s="60">
        <v>50.7</v>
      </c>
      <c r="D155" s="60">
        <v>66.33</v>
      </c>
      <c r="E155" s="61"/>
      <c r="F155" s="61"/>
      <c r="H155" s="3"/>
    </row>
    <row r="156" spans="1:8" x14ac:dyDescent="0.25">
      <c r="A156" s="73"/>
      <c r="B156" s="69" t="s">
        <v>112</v>
      </c>
      <c r="C156" s="60">
        <v>49.18</v>
      </c>
      <c r="D156" s="60">
        <v>64.180000000000007</v>
      </c>
      <c r="E156" s="61"/>
      <c r="F156" s="61"/>
      <c r="H156" s="3"/>
    </row>
    <row r="157" spans="1:8" x14ac:dyDescent="0.25">
      <c r="A157" s="73"/>
      <c r="B157" s="69" t="s">
        <v>113</v>
      </c>
      <c r="C157" s="60">
        <v>49.18</v>
      </c>
      <c r="D157" s="60">
        <v>57.14</v>
      </c>
      <c r="E157" s="61"/>
      <c r="F157" s="61"/>
      <c r="H157" s="3"/>
    </row>
    <row r="158" spans="1:8" x14ac:dyDescent="0.25">
      <c r="A158" s="73"/>
      <c r="B158" s="69" t="s">
        <v>110</v>
      </c>
      <c r="C158" s="60">
        <v>46.35</v>
      </c>
      <c r="D158" s="60">
        <v>59.95</v>
      </c>
      <c r="E158" s="61"/>
      <c r="F158" s="61"/>
      <c r="H158" s="3"/>
    </row>
    <row r="159" spans="1:8" x14ac:dyDescent="0.25">
      <c r="A159" s="73"/>
      <c r="B159" s="69" t="s">
        <v>53</v>
      </c>
      <c r="C159" s="60">
        <v>49.18</v>
      </c>
      <c r="D159" s="60">
        <v>64.180000000000007</v>
      </c>
      <c r="E159" s="61">
        <v>24.79</v>
      </c>
      <c r="F159" s="61">
        <v>31.38</v>
      </c>
      <c r="H159" s="3"/>
    </row>
    <row r="160" spans="1:8" x14ac:dyDescent="0.25">
      <c r="A160" s="73"/>
      <c r="B160" s="69" t="s">
        <v>111</v>
      </c>
      <c r="C160" s="60">
        <v>47.58</v>
      </c>
      <c r="D160" s="60">
        <v>61.92</v>
      </c>
      <c r="E160" s="61"/>
      <c r="F160" s="61"/>
      <c r="H160" s="3"/>
    </row>
    <row r="161" spans="1:9" x14ac:dyDescent="0.25">
      <c r="A161" s="73"/>
      <c r="B161" s="69" t="s">
        <v>109</v>
      </c>
      <c r="C161" s="60">
        <v>45.68</v>
      </c>
      <c r="D161" s="60">
        <v>59.17</v>
      </c>
      <c r="E161" s="61"/>
      <c r="F161" s="61"/>
      <c r="H161" s="3"/>
    </row>
    <row r="162" spans="1:9" ht="39.75" customHeight="1" x14ac:dyDescent="0.25">
      <c r="A162" s="71"/>
      <c r="B162" s="69" t="s">
        <v>168</v>
      </c>
      <c r="C162" s="60">
        <v>49.18</v>
      </c>
      <c r="D162" s="60">
        <v>57.14</v>
      </c>
      <c r="E162" s="61"/>
      <c r="F162" s="61"/>
      <c r="H162" s="3"/>
    </row>
    <row r="163" spans="1:9" ht="46.5" customHeight="1" x14ac:dyDescent="0.25">
      <c r="A163" s="68" t="s">
        <v>25</v>
      </c>
      <c r="B163" s="69" t="s">
        <v>306</v>
      </c>
      <c r="C163" s="60">
        <v>33.729999999999997</v>
      </c>
      <c r="D163" s="60">
        <v>39.19</v>
      </c>
      <c r="E163" s="61">
        <v>26.29</v>
      </c>
      <c r="F163" s="61">
        <v>30.55</v>
      </c>
      <c r="H163" s="5"/>
      <c r="I163" s="5"/>
    </row>
    <row r="164" spans="1:9" ht="30" customHeight="1" x14ac:dyDescent="0.25">
      <c r="A164" s="68" t="s">
        <v>99</v>
      </c>
      <c r="B164" s="69" t="s">
        <v>37</v>
      </c>
      <c r="C164" s="60">
        <v>22.28</v>
      </c>
      <c r="D164" s="60">
        <v>25.21</v>
      </c>
      <c r="E164" s="61"/>
      <c r="F164" s="61"/>
      <c r="H164" s="3"/>
    </row>
    <row r="165" spans="1:9" ht="30" x14ac:dyDescent="0.25">
      <c r="A165" s="68" t="s">
        <v>258</v>
      </c>
      <c r="B165" s="69" t="s">
        <v>259</v>
      </c>
      <c r="C165" s="60">
        <v>15.68</v>
      </c>
      <c r="D165" s="60">
        <v>16.71</v>
      </c>
      <c r="E165" s="61">
        <v>30.81</v>
      </c>
      <c r="F165" s="61">
        <v>35.5</v>
      </c>
      <c r="H165" s="3"/>
    </row>
    <row r="166" spans="1:9" ht="30" customHeight="1" x14ac:dyDescent="0.25">
      <c r="A166" s="68" t="s">
        <v>27</v>
      </c>
      <c r="B166" s="69" t="s">
        <v>37</v>
      </c>
      <c r="C166" s="60">
        <v>36.43</v>
      </c>
      <c r="D166" s="60">
        <v>40.57</v>
      </c>
      <c r="E166" s="61"/>
      <c r="F166" s="61"/>
      <c r="H166" s="3"/>
    </row>
    <row r="167" spans="1:9" ht="45" customHeight="1" x14ac:dyDescent="0.25">
      <c r="A167" s="68" t="s">
        <v>274</v>
      </c>
      <c r="B167" s="69" t="s">
        <v>37</v>
      </c>
      <c r="C167" s="60">
        <v>49.24</v>
      </c>
      <c r="D167" s="60">
        <v>56.72</v>
      </c>
      <c r="E167" s="61"/>
      <c r="F167" s="61"/>
      <c r="H167" s="3"/>
    </row>
    <row r="168" spans="1:9" ht="40.5" customHeight="1" x14ac:dyDescent="0.25">
      <c r="A168" s="68" t="s">
        <v>235</v>
      </c>
      <c r="B168" s="69" t="s">
        <v>37</v>
      </c>
      <c r="C168" s="60">
        <v>34.42</v>
      </c>
      <c r="D168" s="60">
        <v>38.22</v>
      </c>
      <c r="E168" s="61"/>
      <c r="F168" s="61"/>
      <c r="H168" s="3"/>
    </row>
    <row r="169" spans="1:9" ht="40.5" customHeight="1" x14ac:dyDescent="0.25">
      <c r="A169" s="68" t="s">
        <v>302</v>
      </c>
      <c r="B169" s="69" t="s">
        <v>37</v>
      </c>
      <c r="C169" s="60">
        <v>33.96</v>
      </c>
      <c r="D169" s="60">
        <v>39.450000000000003</v>
      </c>
      <c r="E169" s="61"/>
      <c r="F169" s="61"/>
      <c r="H169" s="3"/>
    </row>
    <row r="170" spans="1:9" ht="30" customHeight="1" x14ac:dyDescent="0.25">
      <c r="A170" s="68" t="s">
        <v>28</v>
      </c>
      <c r="B170" s="69" t="s">
        <v>38</v>
      </c>
      <c r="C170" s="60">
        <v>34.090000000000003</v>
      </c>
      <c r="D170" s="60">
        <v>43.25</v>
      </c>
      <c r="E170" s="61">
        <v>23.06</v>
      </c>
      <c r="F170" s="61">
        <v>29.48</v>
      </c>
      <c r="H170" s="3"/>
    </row>
    <row r="171" spans="1:9" ht="60" x14ac:dyDescent="0.25">
      <c r="A171" s="68" t="s">
        <v>100</v>
      </c>
      <c r="B171" s="69" t="s">
        <v>217</v>
      </c>
      <c r="C171" s="60">
        <v>37.619999999999997</v>
      </c>
      <c r="D171" s="60">
        <v>40.97</v>
      </c>
      <c r="E171" s="61">
        <v>38.770000000000003</v>
      </c>
      <c r="F171" s="61">
        <v>39.35</v>
      </c>
      <c r="H171" s="3"/>
    </row>
    <row r="172" spans="1:9" x14ac:dyDescent="0.25">
      <c r="A172" s="68" t="s">
        <v>29</v>
      </c>
      <c r="B172" s="69" t="s">
        <v>39</v>
      </c>
      <c r="C172" s="60">
        <v>26.54</v>
      </c>
      <c r="D172" s="60">
        <v>30.83</v>
      </c>
      <c r="E172" s="61">
        <v>35.83</v>
      </c>
      <c r="F172" s="61">
        <v>41.64</v>
      </c>
      <c r="H172" s="3"/>
    </row>
    <row r="173" spans="1:9" x14ac:dyDescent="0.25">
      <c r="A173" s="68" t="s">
        <v>30</v>
      </c>
      <c r="B173" s="69" t="s">
        <v>40</v>
      </c>
      <c r="C173" s="60">
        <v>64.41</v>
      </c>
      <c r="D173" s="60">
        <v>69.28</v>
      </c>
      <c r="E173" s="61">
        <v>48.02</v>
      </c>
      <c r="F173" s="61">
        <v>49.37</v>
      </c>
      <c r="H173" s="3"/>
    </row>
    <row r="174" spans="1:9" x14ac:dyDescent="0.25">
      <c r="A174" s="68" t="s">
        <v>115</v>
      </c>
      <c r="B174" s="69" t="s">
        <v>41</v>
      </c>
      <c r="C174" s="60">
        <v>69.77</v>
      </c>
      <c r="D174" s="60">
        <v>81.069999999999993</v>
      </c>
      <c r="E174" s="61">
        <v>43.64</v>
      </c>
      <c r="F174" s="61">
        <v>50.7</v>
      </c>
      <c r="H174" s="3"/>
    </row>
    <row r="175" spans="1:9" ht="36.75" customHeight="1" x14ac:dyDescent="0.25">
      <c r="A175" s="68" t="s">
        <v>26</v>
      </c>
      <c r="B175" s="69" t="s">
        <v>42</v>
      </c>
      <c r="C175" s="60">
        <v>64.67</v>
      </c>
      <c r="D175" s="60">
        <v>72.7</v>
      </c>
      <c r="E175" s="61">
        <v>62.46</v>
      </c>
      <c r="F175" s="61">
        <v>72.59</v>
      </c>
      <c r="H175" s="3"/>
    </row>
    <row r="176" spans="1:9" ht="38.25" customHeight="1" x14ac:dyDescent="0.25">
      <c r="A176" s="68" t="s">
        <v>33</v>
      </c>
      <c r="B176" s="69" t="s">
        <v>44</v>
      </c>
      <c r="C176" s="60">
        <v>51.98</v>
      </c>
      <c r="D176" s="60">
        <v>67.83</v>
      </c>
      <c r="E176" s="61">
        <v>59.31</v>
      </c>
      <c r="F176" s="61">
        <v>77.099999999999994</v>
      </c>
      <c r="H176" s="3"/>
    </row>
    <row r="177" spans="1:8" ht="38.25" customHeight="1" x14ac:dyDescent="0.25">
      <c r="A177" s="68"/>
      <c r="B177" s="69" t="s">
        <v>305</v>
      </c>
      <c r="C177" s="60">
        <v>51.98</v>
      </c>
      <c r="D177" s="60">
        <v>60.4</v>
      </c>
      <c r="E177" s="61"/>
      <c r="F177" s="61"/>
      <c r="H177" s="3"/>
    </row>
    <row r="178" spans="1:8" ht="30" x14ac:dyDescent="0.25">
      <c r="A178" s="68" t="s">
        <v>202</v>
      </c>
      <c r="B178" s="69" t="s">
        <v>83</v>
      </c>
      <c r="C178" s="60">
        <v>42.09</v>
      </c>
      <c r="D178" s="60">
        <v>46.89</v>
      </c>
      <c r="E178" s="61">
        <v>66.569999999999993</v>
      </c>
      <c r="F178" s="61">
        <v>74.16</v>
      </c>
      <c r="H178" s="3"/>
    </row>
    <row r="179" spans="1:8" ht="44.25" customHeight="1" x14ac:dyDescent="0.25">
      <c r="A179" s="70" t="s">
        <v>115</v>
      </c>
      <c r="B179" s="69" t="s">
        <v>45</v>
      </c>
      <c r="C179" s="60">
        <v>43.55</v>
      </c>
      <c r="D179" s="60">
        <v>56.18</v>
      </c>
      <c r="E179" s="61">
        <v>49.98</v>
      </c>
      <c r="F179" s="61">
        <v>63.46</v>
      </c>
      <c r="H179" s="3"/>
    </row>
    <row r="180" spans="1:8" ht="30" x14ac:dyDescent="0.25">
      <c r="A180" s="73"/>
      <c r="B180" s="69" t="s">
        <v>65</v>
      </c>
      <c r="C180" s="60">
        <v>68.88</v>
      </c>
      <c r="D180" s="60">
        <v>80.040000000000006</v>
      </c>
      <c r="E180" s="61"/>
      <c r="F180" s="61"/>
      <c r="H180" s="3"/>
    </row>
    <row r="181" spans="1:8" ht="30" x14ac:dyDescent="0.25">
      <c r="A181" s="73"/>
      <c r="B181" s="69" t="s">
        <v>66</v>
      </c>
      <c r="C181" s="60">
        <v>62.45</v>
      </c>
      <c r="D181" s="60">
        <v>70.97</v>
      </c>
      <c r="E181" s="61"/>
      <c r="F181" s="61"/>
      <c r="H181" s="3"/>
    </row>
    <row r="182" spans="1:8" ht="30" x14ac:dyDescent="0.25">
      <c r="A182" s="73"/>
      <c r="B182" s="69" t="s">
        <v>67</v>
      </c>
      <c r="C182" s="60">
        <v>53.94</v>
      </c>
      <c r="D182" s="60">
        <v>62.67</v>
      </c>
      <c r="E182" s="61"/>
      <c r="F182" s="61"/>
      <c r="H182" s="3"/>
    </row>
    <row r="183" spans="1:8" ht="30" x14ac:dyDescent="0.25">
      <c r="A183" s="73"/>
      <c r="B183" s="69" t="s">
        <v>68</v>
      </c>
      <c r="C183" s="60">
        <v>45.86</v>
      </c>
      <c r="D183" s="60">
        <v>53.29</v>
      </c>
      <c r="E183" s="61"/>
      <c r="F183" s="61"/>
      <c r="H183" s="3"/>
    </row>
    <row r="184" spans="1:8" ht="30" x14ac:dyDescent="0.25">
      <c r="A184" s="73"/>
      <c r="B184" s="69" t="s">
        <v>69</v>
      </c>
      <c r="C184" s="60">
        <v>51.13</v>
      </c>
      <c r="D184" s="60">
        <v>66.98</v>
      </c>
      <c r="E184" s="61"/>
      <c r="F184" s="61"/>
      <c r="H184" s="3"/>
    </row>
    <row r="185" spans="1:8" x14ac:dyDescent="0.25">
      <c r="A185" s="73"/>
      <c r="B185" s="69" t="s">
        <v>70</v>
      </c>
      <c r="C185" s="60">
        <v>53.34</v>
      </c>
      <c r="D185" s="60">
        <v>61.67</v>
      </c>
      <c r="E185" s="61"/>
      <c r="F185" s="61"/>
      <c r="H185" s="3"/>
    </row>
    <row r="186" spans="1:8" x14ac:dyDescent="0.25">
      <c r="A186" s="73"/>
      <c r="B186" s="69" t="s">
        <v>71</v>
      </c>
      <c r="C186" s="60">
        <v>43.02</v>
      </c>
      <c r="D186" s="60">
        <v>49.98</v>
      </c>
      <c r="E186" s="61"/>
      <c r="F186" s="61"/>
      <c r="H186" s="3"/>
    </row>
    <row r="187" spans="1:8" x14ac:dyDescent="0.25">
      <c r="A187" s="73"/>
      <c r="B187" s="69" t="s">
        <v>72</v>
      </c>
      <c r="C187" s="60">
        <v>43.55</v>
      </c>
      <c r="D187" s="60">
        <v>56.01</v>
      </c>
      <c r="E187" s="61"/>
      <c r="F187" s="61"/>
      <c r="H187" s="3"/>
    </row>
    <row r="188" spans="1:8" x14ac:dyDescent="0.25">
      <c r="A188" s="73"/>
      <c r="B188" s="69" t="s">
        <v>73</v>
      </c>
      <c r="C188" s="60">
        <v>53.07</v>
      </c>
      <c r="D188" s="60">
        <v>61.67</v>
      </c>
      <c r="E188" s="61"/>
      <c r="F188" s="61"/>
      <c r="H188" s="3"/>
    </row>
    <row r="189" spans="1:8" ht="135" x14ac:dyDescent="0.25">
      <c r="A189" s="73"/>
      <c r="B189" s="69" t="s">
        <v>74</v>
      </c>
      <c r="C189" s="60">
        <v>58.4</v>
      </c>
      <c r="D189" s="60">
        <v>76.849999999999994</v>
      </c>
      <c r="E189" s="61"/>
      <c r="F189" s="61"/>
      <c r="H189" s="3"/>
    </row>
    <row r="190" spans="1:8" x14ac:dyDescent="0.25">
      <c r="A190" s="73"/>
      <c r="B190" s="69" t="s">
        <v>126</v>
      </c>
      <c r="C190" s="60">
        <v>61.49</v>
      </c>
      <c r="D190" s="60">
        <v>71.44</v>
      </c>
      <c r="E190" s="61"/>
      <c r="F190" s="61"/>
      <c r="H190" s="3"/>
    </row>
    <row r="191" spans="1:8" ht="30" x14ac:dyDescent="0.25">
      <c r="A191" s="73"/>
      <c r="B191" s="69" t="s">
        <v>225</v>
      </c>
      <c r="C191" s="60">
        <v>50.39</v>
      </c>
      <c r="D191" s="60">
        <v>67.41</v>
      </c>
      <c r="E191" s="61"/>
      <c r="F191" s="61"/>
      <c r="H191" s="3"/>
    </row>
    <row r="192" spans="1:8" ht="75" x14ac:dyDescent="0.25">
      <c r="A192" s="73"/>
      <c r="B192" s="77" t="s">
        <v>122</v>
      </c>
      <c r="C192" s="60">
        <v>58.54</v>
      </c>
      <c r="D192" s="60">
        <v>77.099999999999994</v>
      </c>
      <c r="E192" s="61"/>
      <c r="F192" s="62"/>
      <c r="H192" s="3"/>
    </row>
    <row r="193" spans="1:8" ht="30" x14ac:dyDescent="0.25">
      <c r="A193" s="70" t="s">
        <v>275</v>
      </c>
      <c r="B193" s="64" t="s">
        <v>276</v>
      </c>
      <c r="C193" s="60">
        <v>40.799999999999997</v>
      </c>
      <c r="D193" s="63">
        <v>44.21</v>
      </c>
      <c r="E193" s="61">
        <v>37.11</v>
      </c>
      <c r="F193" s="62">
        <v>37.11</v>
      </c>
      <c r="H193" s="3"/>
    </row>
    <row r="194" spans="1:8" ht="30" x14ac:dyDescent="0.25">
      <c r="A194" s="70" t="s">
        <v>286</v>
      </c>
      <c r="B194" s="64" t="s">
        <v>283</v>
      </c>
      <c r="C194" s="60">
        <v>50.72</v>
      </c>
      <c r="D194" s="63">
        <v>53.88</v>
      </c>
      <c r="E194" s="61">
        <v>89.93</v>
      </c>
      <c r="F194" s="64">
        <v>104.5</v>
      </c>
      <c r="H194" s="3"/>
    </row>
    <row r="195" spans="1:8" ht="60" x14ac:dyDescent="0.25">
      <c r="A195" s="68" t="s">
        <v>279</v>
      </c>
      <c r="B195" s="65" t="s">
        <v>280</v>
      </c>
      <c r="C195" s="60">
        <v>68.3</v>
      </c>
      <c r="D195" s="60">
        <v>74.11</v>
      </c>
      <c r="E195" s="61"/>
      <c r="F195" s="65"/>
      <c r="H195" s="3"/>
    </row>
  </sheetData>
  <autoFilter ref="B2:B195"/>
  <mergeCells count="12">
    <mergeCell ref="B2:B5"/>
    <mergeCell ref="A2:A5"/>
    <mergeCell ref="A1:F1"/>
    <mergeCell ref="A150:A153"/>
    <mergeCell ref="A52:A55"/>
    <mergeCell ref="A128:A134"/>
    <mergeCell ref="C2:D2"/>
    <mergeCell ref="E2:F2"/>
    <mergeCell ref="C3:D3"/>
    <mergeCell ref="E3:F3"/>
    <mergeCell ref="C4:D4"/>
    <mergeCell ref="E4:F4"/>
  </mergeCells>
  <pageMargins left="0.70866141732283472" right="0.70866141732283472" top="0.74803149606299213" bottom="0.74803149606299213" header="0.31496062992125984" footer="0.31496062992125984"/>
  <pageSetup paperSize="9"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26"/>
  <sheetViews>
    <sheetView topLeftCell="A55" workbookViewId="0">
      <selection activeCell="C1" sqref="C1:C4"/>
    </sheetView>
  </sheetViews>
  <sheetFormatPr defaultRowHeight="15" x14ac:dyDescent="0.25"/>
  <cols>
    <col min="2" max="2" width="16" customWidth="1"/>
    <col min="3" max="3" width="19" customWidth="1"/>
    <col min="4" max="4" width="10.140625" customWidth="1"/>
    <col min="5" max="5" width="0" hidden="1" customWidth="1"/>
    <col min="6" max="6" width="10.7109375" hidden="1" customWidth="1"/>
    <col min="7" max="7" width="11.28515625" customWidth="1"/>
    <col min="8" max="8" width="11.5703125" customWidth="1"/>
    <col min="9" max="9" width="13.140625" customWidth="1"/>
    <col min="10" max="10" width="12.5703125" customWidth="1"/>
    <col min="12" max="12" width="9.140625" customWidth="1"/>
    <col min="13" max="13" width="0" hidden="1" customWidth="1"/>
    <col min="14" max="14" width="13.140625" hidden="1" customWidth="1"/>
    <col min="15" max="15" width="11.7109375" customWidth="1"/>
    <col min="16" max="17" width="11.42578125" customWidth="1"/>
    <col min="18" max="18" width="11.5703125" customWidth="1"/>
  </cols>
  <sheetData>
    <row r="1" spans="1:19" ht="30" customHeight="1" x14ac:dyDescent="0.25">
      <c r="A1" s="94" t="s">
        <v>3</v>
      </c>
      <c r="B1" s="97" t="s">
        <v>2</v>
      </c>
      <c r="C1" s="100" t="s">
        <v>4</v>
      </c>
      <c r="D1" s="111" t="s">
        <v>0</v>
      </c>
      <c r="E1" s="112"/>
      <c r="F1" s="112"/>
      <c r="G1" s="112"/>
      <c r="H1" s="112"/>
      <c r="I1" s="112"/>
      <c r="J1" s="112"/>
      <c r="K1" s="112"/>
      <c r="L1" s="113" t="s">
        <v>1</v>
      </c>
      <c r="M1" s="113"/>
      <c r="N1" s="113"/>
      <c r="O1" s="113"/>
      <c r="P1" s="113"/>
      <c r="Q1" s="113"/>
      <c r="R1" s="113"/>
      <c r="S1" s="113"/>
    </row>
    <row r="2" spans="1:19" ht="15" customHeight="1" x14ac:dyDescent="0.25">
      <c r="A2" s="95"/>
      <c r="B2" s="98"/>
      <c r="C2" s="101"/>
      <c r="D2" s="108" t="s">
        <v>271</v>
      </c>
      <c r="E2" s="103" t="s">
        <v>249</v>
      </c>
      <c r="F2" s="104"/>
      <c r="G2" s="105" t="s">
        <v>265</v>
      </c>
      <c r="H2" s="106"/>
      <c r="I2" s="106"/>
      <c r="J2" s="106"/>
      <c r="K2" s="107"/>
      <c r="L2" s="108" t="s">
        <v>272</v>
      </c>
      <c r="M2" s="114" t="s">
        <v>249</v>
      </c>
      <c r="N2" s="115"/>
      <c r="O2" s="116" t="s">
        <v>265</v>
      </c>
      <c r="P2" s="117"/>
      <c r="Q2" s="117"/>
      <c r="R2" s="117"/>
      <c r="S2" s="118"/>
    </row>
    <row r="3" spans="1:19" x14ac:dyDescent="0.25">
      <c r="A3" s="95"/>
      <c r="B3" s="98"/>
      <c r="C3" s="101"/>
      <c r="D3" s="109"/>
      <c r="E3" s="103" t="s">
        <v>174</v>
      </c>
      <c r="F3" s="104"/>
      <c r="G3" s="105" t="s">
        <v>174</v>
      </c>
      <c r="H3" s="106"/>
      <c r="I3" s="106"/>
      <c r="J3" s="106"/>
      <c r="K3" s="107"/>
      <c r="L3" s="109"/>
      <c r="M3" s="103" t="s">
        <v>175</v>
      </c>
      <c r="N3" s="104"/>
      <c r="O3" s="105" t="s">
        <v>175</v>
      </c>
      <c r="P3" s="106"/>
      <c r="Q3" s="106"/>
      <c r="R3" s="106"/>
      <c r="S3" s="107"/>
    </row>
    <row r="4" spans="1:19" ht="75" x14ac:dyDescent="0.25">
      <c r="A4" s="96"/>
      <c r="B4" s="99"/>
      <c r="C4" s="102"/>
      <c r="D4" s="110"/>
      <c r="E4" s="7" t="s">
        <v>273</v>
      </c>
      <c r="F4" s="7" t="s">
        <v>270</v>
      </c>
      <c r="G4" s="8" t="s">
        <v>266</v>
      </c>
      <c r="H4" s="8" t="s">
        <v>267</v>
      </c>
      <c r="I4" s="8" t="s">
        <v>268</v>
      </c>
      <c r="J4" s="8" t="s">
        <v>269</v>
      </c>
      <c r="K4" s="9" t="s">
        <v>228</v>
      </c>
      <c r="L4" s="110"/>
      <c r="M4" s="7" t="s">
        <v>273</v>
      </c>
      <c r="N4" s="7" t="s">
        <v>270</v>
      </c>
      <c r="O4" s="8" t="s">
        <v>266</v>
      </c>
      <c r="P4" s="8" t="s">
        <v>267</v>
      </c>
      <c r="Q4" s="8" t="s">
        <v>268</v>
      </c>
      <c r="R4" s="8" t="s">
        <v>269</v>
      </c>
      <c r="S4" s="9" t="s">
        <v>228</v>
      </c>
    </row>
    <row r="5" spans="1:19" ht="53.25" customHeight="1" x14ac:dyDescent="0.25">
      <c r="A5" s="2">
        <v>1</v>
      </c>
      <c r="B5" s="10" t="s">
        <v>46</v>
      </c>
      <c r="C5" s="11" t="s">
        <v>162</v>
      </c>
      <c r="D5" s="12">
        <v>22.257000000000001</v>
      </c>
      <c r="E5" s="13">
        <v>37.82</v>
      </c>
      <c r="F5" s="13">
        <f t="shared" ref="F5:F90" si="0">D5*E5</f>
        <v>841.75974000000008</v>
      </c>
      <c r="G5" s="13">
        <v>37.82</v>
      </c>
      <c r="H5" s="13">
        <v>42.51</v>
      </c>
      <c r="I5" s="13">
        <f>G5*D5</f>
        <v>841.75974000000008</v>
      </c>
      <c r="J5" s="13">
        <f>H5*D5</f>
        <v>946.14507000000003</v>
      </c>
      <c r="K5" s="14">
        <f t="shared" ref="K5:K34" si="1">H5/E5*100</f>
        <v>112.40084611316763</v>
      </c>
      <c r="L5" s="12"/>
      <c r="M5" s="13"/>
      <c r="N5" s="13">
        <f>L5*M5</f>
        <v>0</v>
      </c>
      <c r="O5" s="15"/>
      <c r="P5" s="15"/>
      <c r="Q5" s="15">
        <f t="shared" ref="Q5" si="2">O5*L5</f>
        <v>0</v>
      </c>
      <c r="R5" s="15">
        <f t="shared" ref="R5" si="3">P5*L5</f>
        <v>0</v>
      </c>
      <c r="S5" s="16" t="e">
        <f t="shared" ref="S5:S68" si="4">R5/Q5*100</f>
        <v>#DIV/0!</v>
      </c>
    </row>
    <row r="6" spans="1:19" ht="160.5" customHeight="1" x14ac:dyDescent="0.25">
      <c r="A6" s="2"/>
      <c r="B6" s="10"/>
      <c r="C6" s="11" t="s">
        <v>250</v>
      </c>
      <c r="D6" s="12">
        <v>165.797</v>
      </c>
      <c r="E6" s="13">
        <v>64.540000000000006</v>
      </c>
      <c r="F6" s="13">
        <f t="shared" si="0"/>
        <v>10700.53838</v>
      </c>
      <c r="G6" s="13">
        <v>64.540000000000006</v>
      </c>
      <c r="H6" s="13">
        <v>72.540000000000006</v>
      </c>
      <c r="I6" s="13">
        <f t="shared" ref="I6:I69" si="5">G6*D6</f>
        <v>10700.53838</v>
      </c>
      <c r="J6" s="13">
        <f t="shared" ref="J6:J69" si="6">H6*D6</f>
        <v>12026.91438</v>
      </c>
      <c r="K6" s="14">
        <f t="shared" si="1"/>
        <v>112.39541369693214</v>
      </c>
      <c r="L6" s="12"/>
      <c r="M6" s="13"/>
      <c r="N6" s="13">
        <f t="shared" ref="N6:N70" si="7">L6*M6</f>
        <v>0</v>
      </c>
      <c r="O6" s="15"/>
      <c r="P6" s="15"/>
      <c r="Q6" s="15">
        <f>O6*L6</f>
        <v>0</v>
      </c>
      <c r="R6" s="15">
        <f>P6*L6</f>
        <v>0</v>
      </c>
      <c r="S6" s="16" t="e">
        <f t="shared" si="4"/>
        <v>#DIV/0!</v>
      </c>
    </row>
    <row r="7" spans="1:19" ht="165.75" customHeight="1" x14ac:dyDescent="0.25">
      <c r="A7" s="17">
        <v>2</v>
      </c>
      <c r="B7" s="18" t="s">
        <v>115</v>
      </c>
      <c r="C7" s="11" t="s">
        <v>215</v>
      </c>
      <c r="D7" s="12">
        <v>165.06</v>
      </c>
      <c r="E7" s="13">
        <v>63.32</v>
      </c>
      <c r="F7" s="13">
        <f t="shared" si="0"/>
        <v>10451.599200000001</v>
      </c>
      <c r="G7" s="13">
        <v>63.32</v>
      </c>
      <c r="H7" s="13">
        <f>G7*1.07</f>
        <v>67.752400000000009</v>
      </c>
      <c r="I7" s="13">
        <f t="shared" si="5"/>
        <v>10451.599200000001</v>
      </c>
      <c r="J7" s="13">
        <f t="shared" si="6"/>
        <v>11183.211144000001</v>
      </c>
      <c r="K7" s="14">
        <f t="shared" si="1"/>
        <v>107</v>
      </c>
      <c r="L7" s="12"/>
      <c r="M7" s="13"/>
      <c r="N7" s="13">
        <f t="shared" si="7"/>
        <v>0</v>
      </c>
      <c r="O7" s="15"/>
      <c r="P7" s="15"/>
      <c r="Q7" s="15">
        <f t="shared" ref="Q7:Q70" si="8">O7*L7</f>
        <v>0</v>
      </c>
      <c r="R7" s="15">
        <f t="shared" ref="R7:R70" si="9">P7*L7</f>
        <v>0</v>
      </c>
      <c r="S7" s="16" t="e">
        <f t="shared" si="4"/>
        <v>#DIV/0!</v>
      </c>
    </row>
    <row r="8" spans="1:19" ht="57" customHeight="1" x14ac:dyDescent="0.25">
      <c r="A8" s="19"/>
      <c r="B8" s="19"/>
      <c r="C8" s="11" t="s">
        <v>75</v>
      </c>
      <c r="D8" s="12">
        <v>26.8</v>
      </c>
      <c r="E8" s="13">
        <v>53.687919999999998</v>
      </c>
      <c r="F8" s="13">
        <f t="shared" si="0"/>
        <v>1438.836256</v>
      </c>
      <c r="G8" s="13">
        <v>53.69</v>
      </c>
      <c r="H8" s="13">
        <f>57.44</f>
        <v>57.44</v>
      </c>
      <c r="I8" s="13">
        <f t="shared" si="5"/>
        <v>1438.8920000000001</v>
      </c>
      <c r="J8" s="13">
        <f t="shared" si="6"/>
        <v>1539.3920000000001</v>
      </c>
      <c r="K8" s="14">
        <f t="shared" si="1"/>
        <v>106.98868572297083</v>
      </c>
      <c r="L8" s="12"/>
      <c r="M8" s="13"/>
      <c r="N8" s="13">
        <f t="shared" si="7"/>
        <v>0</v>
      </c>
      <c r="O8" s="15"/>
      <c r="P8" s="15"/>
      <c r="Q8" s="15">
        <f t="shared" si="8"/>
        <v>0</v>
      </c>
      <c r="R8" s="15">
        <f t="shared" si="9"/>
        <v>0</v>
      </c>
      <c r="S8" s="16" t="e">
        <f t="shared" si="4"/>
        <v>#DIV/0!</v>
      </c>
    </row>
    <row r="9" spans="1:19" ht="46.5" customHeight="1" x14ac:dyDescent="0.25">
      <c r="A9" s="2">
        <v>3</v>
      </c>
      <c r="B9" s="10" t="s">
        <v>123</v>
      </c>
      <c r="C9" s="11" t="s">
        <v>119</v>
      </c>
      <c r="D9" s="12">
        <v>108.693</v>
      </c>
      <c r="E9" s="13">
        <v>66.260000000000005</v>
      </c>
      <c r="F9" s="13">
        <f t="shared" si="0"/>
        <v>7201.9981800000005</v>
      </c>
      <c r="G9" s="13">
        <v>66.260000000000005</v>
      </c>
      <c r="H9" s="13">
        <v>69.989999999999995</v>
      </c>
      <c r="I9" s="13">
        <f t="shared" si="5"/>
        <v>7201.9981800000005</v>
      </c>
      <c r="J9" s="13">
        <f t="shared" si="6"/>
        <v>7607.4230699999989</v>
      </c>
      <c r="K9" s="14">
        <f t="shared" si="1"/>
        <v>105.62933896770296</v>
      </c>
      <c r="L9" s="12"/>
      <c r="M9" s="13"/>
      <c r="N9" s="13">
        <f t="shared" si="7"/>
        <v>0</v>
      </c>
      <c r="O9" s="15"/>
      <c r="P9" s="15"/>
      <c r="Q9" s="15">
        <f t="shared" si="8"/>
        <v>0</v>
      </c>
      <c r="R9" s="15">
        <f t="shared" si="9"/>
        <v>0</v>
      </c>
      <c r="S9" s="16" t="e">
        <f t="shared" si="4"/>
        <v>#DIV/0!</v>
      </c>
    </row>
    <row r="10" spans="1:19" ht="197.25" customHeight="1" x14ac:dyDescent="0.25">
      <c r="A10" s="2">
        <v>4</v>
      </c>
      <c r="B10" s="10" t="s">
        <v>229</v>
      </c>
      <c r="C10" s="11" t="s">
        <v>230</v>
      </c>
      <c r="D10" s="12">
        <v>352.02</v>
      </c>
      <c r="E10" s="13">
        <v>43.44</v>
      </c>
      <c r="F10" s="13">
        <f t="shared" si="0"/>
        <v>15291.748799999998</v>
      </c>
      <c r="G10" s="13">
        <v>43.44</v>
      </c>
      <c r="H10" s="13">
        <f>45.47</f>
        <v>45.47</v>
      </c>
      <c r="I10" s="13">
        <f t="shared" si="5"/>
        <v>15291.748799999998</v>
      </c>
      <c r="J10" s="13">
        <f t="shared" si="6"/>
        <v>16006.349399999999</v>
      </c>
      <c r="K10" s="14">
        <f t="shared" si="1"/>
        <v>104.67311233885819</v>
      </c>
      <c r="L10" s="12"/>
      <c r="M10" s="13"/>
      <c r="N10" s="13">
        <f t="shared" si="7"/>
        <v>0</v>
      </c>
      <c r="O10" s="15"/>
      <c r="P10" s="15"/>
      <c r="Q10" s="15">
        <f t="shared" si="8"/>
        <v>0</v>
      </c>
      <c r="R10" s="15">
        <f t="shared" si="9"/>
        <v>0</v>
      </c>
      <c r="S10" s="16" t="e">
        <f t="shared" si="4"/>
        <v>#DIV/0!</v>
      </c>
    </row>
    <row r="11" spans="1:19" ht="45" x14ac:dyDescent="0.25">
      <c r="A11" s="2">
        <v>5</v>
      </c>
      <c r="B11" s="10" t="s">
        <v>260</v>
      </c>
      <c r="C11" s="11" t="s">
        <v>161</v>
      </c>
      <c r="D11" s="12">
        <v>45.42</v>
      </c>
      <c r="E11" s="13">
        <v>69.58</v>
      </c>
      <c r="F11" s="13">
        <f t="shared" si="0"/>
        <v>3160.3236000000002</v>
      </c>
      <c r="G11" s="13">
        <v>69.58</v>
      </c>
      <c r="H11" s="13">
        <f>69.58</f>
        <v>69.58</v>
      </c>
      <c r="I11" s="13">
        <f t="shared" si="5"/>
        <v>3160.3236000000002</v>
      </c>
      <c r="J11" s="13">
        <f t="shared" si="6"/>
        <v>3160.3236000000002</v>
      </c>
      <c r="K11" s="14">
        <f t="shared" si="1"/>
        <v>100</v>
      </c>
      <c r="L11" s="12">
        <v>11.34</v>
      </c>
      <c r="M11" s="13">
        <v>44.91</v>
      </c>
      <c r="N11" s="13">
        <f t="shared" si="7"/>
        <v>509.27939999999995</v>
      </c>
      <c r="O11" s="15">
        <v>44.91</v>
      </c>
      <c r="P11" s="15">
        <f>45.84</f>
        <v>45.84</v>
      </c>
      <c r="Q11" s="15">
        <f t="shared" si="8"/>
        <v>509.27939999999995</v>
      </c>
      <c r="R11" s="15">
        <f t="shared" si="9"/>
        <v>519.82560000000001</v>
      </c>
      <c r="S11" s="16">
        <f t="shared" si="4"/>
        <v>102.07080828323313</v>
      </c>
    </row>
    <row r="12" spans="1:19" ht="45" x14ac:dyDescent="0.25">
      <c r="A12" s="2">
        <v>6</v>
      </c>
      <c r="B12" s="10" t="s">
        <v>5</v>
      </c>
      <c r="C12" s="11" t="s">
        <v>142</v>
      </c>
      <c r="D12" s="12">
        <v>154.53</v>
      </c>
      <c r="E12" s="13">
        <v>56.1</v>
      </c>
      <c r="F12" s="13">
        <f t="shared" si="0"/>
        <v>8669.1329999999998</v>
      </c>
      <c r="G12" s="13">
        <v>56.1</v>
      </c>
      <c r="H12" s="13">
        <v>57.22</v>
      </c>
      <c r="I12" s="13">
        <f t="shared" si="5"/>
        <v>8669.1329999999998</v>
      </c>
      <c r="J12" s="13">
        <f t="shared" si="6"/>
        <v>8842.2065999999995</v>
      </c>
      <c r="K12" s="14">
        <f t="shared" si="1"/>
        <v>101.99643493761141</v>
      </c>
      <c r="L12" s="12">
        <v>5.92</v>
      </c>
      <c r="M12" s="13">
        <v>59.5</v>
      </c>
      <c r="N12" s="13">
        <f t="shared" si="7"/>
        <v>352.24</v>
      </c>
      <c r="O12" s="15">
        <v>59.5</v>
      </c>
      <c r="P12" s="15">
        <v>64.61</v>
      </c>
      <c r="Q12" s="15">
        <f t="shared" si="8"/>
        <v>352.24</v>
      </c>
      <c r="R12" s="15">
        <f t="shared" si="9"/>
        <v>382.49119999999999</v>
      </c>
      <c r="S12" s="16">
        <f t="shared" si="4"/>
        <v>108.58823529411765</v>
      </c>
    </row>
    <row r="13" spans="1:19" ht="282" customHeight="1" x14ac:dyDescent="0.25">
      <c r="A13" s="17">
        <v>7</v>
      </c>
      <c r="B13" s="18" t="s">
        <v>115</v>
      </c>
      <c r="C13" s="11" t="s">
        <v>107</v>
      </c>
      <c r="D13" s="12">
        <v>214.39</v>
      </c>
      <c r="E13" s="13">
        <v>48.34</v>
      </c>
      <c r="F13" s="13">
        <f t="shared" si="0"/>
        <v>10363.6126</v>
      </c>
      <c r="G13" s="13">
        <v>48.34</v>
      </c>
      <c r="H13" s="13">
        <f>G13*1.07</f>
        <v>51.723800000000004</v>
      </c>
      <c r="I13" s="13">
        <f t="shared" si="5"/>
        <v>10363.6126</v>
      </c>
      <c r="J13" s="13">
        <f t="shared" si="6"/>
        <v>11089.065482</v>
      </c>
      <c r="K13" s="14">
        <f t="shared" si="1"/>
        <v>107</v>
      </c>
      <c r="L13" s="12"/>
      <c r="M13" s="13"/>
      <c r="N13" s="13">
        <f t="shared" si="7"/>
        <v>0</v>
      </c>
      <c r="O13" s="15"/>
      <c r="P13" s="15"/>
      <c r="Q13" s="15">
        <f t="shared" si="8"/>
        <v>0</v>
      </c>
      <c r="R13" s="15">
        <f t="shared" si="9"/>
        <v>0</v>
      </c>
      <c r="S13" s="16" t="e">
        <f t="shared" si="4"/>
        <v>#DIV/0!</v>
      </c>
    </row>
    <row r="14" spans="1:19" ht="45" x14ac:dyDescent="0.25">
      <c r="A14" s="17">
        <v>8</v>
      </c>
      <c r="B14" s="18" t="s">
        <v>115</v>
      </c>
      <c r="C14" s="11" t="s">
        <v>79</v>
      </c>
      <c r="D14" s="12">
        <v>71.67</v>
      </c>
      <c r="E14" s="13">
        <v>49.02</v>
      </c>
      <c r="F14" s="13">
        <f t="shared" si="0"/>
        <v>3513.2634000000003</v>
      </c>
      <c r="G14" s="13">
        <v>49.02</v>
      </c>
      <c r="H14" s="13">
        <f>G14*1.07</f>
        <v>52.451400000000007</v>
      </c>
      <c r="I14" s="13">
        <f t="shared" si="5"/>
        <v>3513.2634000000003</v>
      </c>
      <c r="J14" s="13">
        <f t="shared" si="6"/>
        <v>3759.1918380000006</v>
      </c>
      <c r="K14" s="14">
        <f t="shared" si="1"/>
        <v>107</v>
      </c>
      <c r="L14" s="12">
        <v>14.76</v>
      </c>
      <c r="M14" s="13">
        <v>26.7</v>
      </c>
      <c r="N14" s="13">
        <f t="shared" si="7"/>
        <v>394.09199999999998</v>
      </c>
      <c r="O14" s="15">
        <v>26.7</v>
      </c>
      <c r="P14" s="15">
        <f>O14*1.07</f>
        <v>28.569000000000003</v>
      </c>
      <c r="Q14" s="15">
        <f t="shared" si="8"/>
        <v>394.09199999999998</v>
      </c>
      <c r="R14" s="15">
        <f t="shared" si="9"/>
        <v>421.67844000000002</v>
      </c>
      <c r="S14" s="16">
        <f t="shared" si="4"/>
        <v>107</v>
      </c>
    </row>
    <row r="15" spans="1:19" ht="60" x14ac:dyDescent="0.25">
      <c r="A15" s="20"/>
      <c r="B15" s="21"/>
      <c r="C15" s="11" t="s">
        <v>80</v>
      </c>
      <c r="D15" s="12">
        <v>21.82</v>
      </c>
      <c r="E15" s="13">
        <v>48.92</v>
      </c>
      <c r="F15" s="13">
        <f t="shared" si="0"/>
        <v>1067.4344000000001</v>
      </c>
      <c r="G15" s="13">
        <v>48.92</v>
      </c>
      <c r="H15" s="13">
        <f t="shared" ref="H15:H26" si="10">G15*1.07</f>
        <v>52.344400000000007</v>
      </c>
      <c r="I15" s="13">
        <f t="shared" si="5"/>
        <v>1067.4344000000001</v>
      </c>
      <c r="J15" s="13">
        <f t="shared" si="6"/>
        <v>1142.1548080000002</v>
      </c>
      <c r="K15" s="14">
        <f t="shared" si="1"/>
        <v>107</v>
      </c>
      <c r="L15" s="12">
        <v>20.66</v>
      </c>
      <c r="M15" s="13">
        <v>48.35</v>
      </c>
      <c r="N15" s="13">
        <f t="shared" si="7"/>
        <v>998.91100000000006</v>
      </c>
      <c r="O15" s="15">
        <v>48.35</v>
      </c>
      <c r="P15" s="15">
        <f>O15*1.07</f>
        <v>51.734500000000004</v>
      </c>
      <c r="Q15" s="15">
        <f t="shared" si="8"/>
        <v>998.91100000000006</v>
      </c>
      <c r="R15" s="15">
        <f t="shared" si="9"/>
        <v>1068.8347700000002</v>
      </c>
      <c r="S15" s="16">
        <f t="shared" si="4"/>
        <v>107</v>
      </c>
    </row>
    <row r="16" spans="1:19" ht="58.5" customHeight="1" x14ac:dyDescent="0.25">
      <c r="A16" s="20"/>
      <c r="B16" s="21"/>
      <c r="C16" s="11" t="s">
        <v>81</v>
      </c>
      <c r="D16" s="12">
        <v>60.84</v>
      </c>
      <c r="E16" s="13">
        <v>49.02</v>
      </c>
      <c r="F16" s="13">
        <f t="shared" si="0"/>
        <v>2982.3768000000005</v>
      </c>
      <c r="G16" s="13">
        <v>49.02</v>
      </c>
      <c r="H16" s="13">
        <f t="shared" si="10"/>
        <v>52.451400000000007</v>
      </c>
      <c r="I16" s="13">
        <f t="shared" si="5"/>
        <v>2982.3768000000005</v>
      </c>
      <c r="J16" s="13">
        <f t="shared" si="6"/>
        <v>3191.1431760000005</v>
      </c>
      <c r="K16" s="14">
        <f t="shared" si="1"/>
        <v>107</v>
      </c>
      <c r="L16" s="12">
        <v>13.2</v>
      </c>
      <c r="M16" s="13">
        <v>67.569999999999993</v>
      </c>
      <c r="N16" s="13">
        <f t="shared" si="7"/>
        <v>891.92399999999986</v>
      </c>
      <c r="O16" s="15">
        <v>67.569999999999993</v>
      </c>
      <c r="P16" s="15">
        <f>O16*1.07</f>
        <v>72.299899999999994</v>
      </c>
      <c r="Q16" s="15">
        <f t="shared" si="8"/>
        <v>891.92399999999986</v>
      </c>
      <c r="R16" s="15">
        <f t="shared" si="9"/>
        <v>954.35867999999982</v>
      </c>
      <c r="S16" s="16">
        <f t="shared" si="4"/>
        <v>107</v>
      </c>
    </row>
    <row r="17" spans="1:19" ht="96" customHeight="1" x14ac:dyDescent="0.25">
      <c r="A17" s="20"/>
      <c r="B17" s="21"/>
      <c r="C17" s="11" t="s">
        <v>226</v>
      </c>
      <c r="D17" s="12">
        <v>35.67</v>
      </c>
      <c r="E17" s="13">
        <v>39.17</v>
      </c>
      <c r="F17" s="13">
        <f t="shared" si="0"/>
        <v>1397.1939000000002</v>
      </c>
      <c r="G17" s="13">
        <v>39.17</v>
      </c>
      <c r="H17" s="13">
        <f t="shared" si="10"/>
        <v>41.911900000000003</v>
      </c>
      <c r="I17" s="13">
        <f t="shared" si="5"/>
        <v>1397.1939000000002</v>
      </c>
      <c r="J17" s="13">
        <f t="shared" si="6"/>
        <v>1494.9974730000001</v>
      </c>
      <c r="K17" s="14">
        <f t="shared" si="1"/>
        <v>107</v>
      </c>
      <c r="L17" s="12">
        <v>40.44</v>
      </c>
      <c r="M17" s="13">
        <v>59.05</v>
      </c>
      <c r="N17" s="13">
        <f t="shared" si="7"/>
        <v>2387.982</v>
      </c>
      <c r="O17" s="15">
        <v>59.05</v>
      </c>
      <c r="P17" s="15">
        <f>O17*1.07</f>
        <v>63.183500000000002</v>
      </c>
      <c r="Q17" s="15">
        <f t="shared" si="8"/>
        <v>2387.982</v>
      </c>
      <c r="R17" s="15">
        <f t="shared" si="9"/>
        <v>2555.1407399999998</v>
      </c>
      <c r="S17" s="16">
        <f t="shared" si="4"/>
        <v>106.99999999999999</v>
      </c>
    </row>
    <row r="18" spans="1:19" ht="59.25" customHeight="1" x14ac:dyDescent="0.25">
      <c r="A18" s="22"/>
      <c r="B18" s="22"/>
      <c r="C18" s="11" t="s">
        <v>82</v>
      </c>
      <c r="D18" s="12">
        <v>11.17</v>
      </c>
      <c r="E18" s="13">
        <v>29.27</v>
      </c>
      <c r="F18" s="13">
        <f t="shared" si="0"/>
        <v>326.94589999999999</v>
      </c>
      <c r="G18" s="13">
        <v>29.27</v>
      </c>
      <c r="H18" s="13">
        <f t="shared" si="10"/>
        <v>31.318900000000003</v>
      </c>
      <c r="I18" s="13">
        <f t="shared" si="5"/>
        <v>326.94589999999999</v>
      </c>
      <c r="J18" s="13">
        <f t="shared" si="6"/>
        <v>349.83211300000005</v>
      </c>
      <c r="K18" s="14">
        <f t="shared" si="1"/>
        <v>107</v>
      </c>
      <c r="L18" s="12"/>
      <c r="M18" s="13"/>
      <c r="N18" s="13">
        <f t="shared" si="7"/>
        <v>0</v>
      </c>
      <c r="O18" s="15"/>
      <c r="P18" s="15"/>
      <c r="Q18" s="15">
        <f t="shared" si="8"/>
        <v>0</v>
      </c>
      <c r="R18" s="15">
        <f t="shared" si="9"/>
        <v>0</v>
      </c>
      <c r="S18" s="16" t="e">
        <f t="shared" si="4"/>
        <v>#DIV/0!</v>
      </c>
    </row>
    <row r="19" spans="1:19" ht="124.5" customHeight="1" x14ac:dyDescent="0.25">
      <c r="A19" s="22"/>
      <c r="B19" s="22"/>
      <c r="C19" s="11" t="s">
        <v>227</v>
      </c>
      <c r="D19" s="12">
        <v>22.8</v>
      </c>
      <c r="E19" s="13">
        <v>55.31</v>
      </c>
      <c r="F19" s="13">
        <f t="shared" si="0"/>
        <v>1261.068</v>
      </c>
      <c r="G19" s="13">
        <v>55.31</v>
      </c>
      <c r="H19" s="13">
        <f t="shared" si="10"/>
        <v>59.181700000000006</v>
      </c>
      <c r="I19" s="13">
        <f t="shared" si="5"/>
        <v>1261.068</v>
      </c>
      <c r="J19" s="13">
        <f t="shared" si="6"/>
        <v>1349.3427600000002</v>
      </c>
      <c r="K19" s="14">
        <f t="shared" si="1"/>
        <v>107</v>
      </c>
      <c r="L19" s="12"/>
      <c r="M19" s="13"/>
      <c r="N19" s="13">
        <f t="shared" si="7"/>
        <v>0</v>
      </c>
      <c r="O19" s="15"/>
      <c r="P19" s="15"/>
      <c r="Q19" s="15">
        <f t="shared" si="8"/>
        <v>0</v>
      </c>
      <c r="R19" s="15">
        <f t="shared" si="9"/>
        <v>0</v>
      </c>
      <c r="S19" s="16" t="e">
        <f t="shared" si="4"/>
        <v>#DIV/0!</v>
      </c>
    </row>
    <row r="20" spans="1:19" ht="45" x14ac:dyDescent="0.25">
      <c r="A20" s="22"/>
      <c r="B20" s="22"/>
      <c r="C20" s="11" t="s">
        <v>101</v>
      </c>
      <c r="D20" s="12">
        <v>17.93</v>
      </c>
      <c r="E20" s="13">
        <v>55.312399999999997</v>
      </c>
      <c r="F20" s="13">
        <f t="shared" si="0"/>
        <v>991.75133199999993</v>
      </c>
      <c r="G20" s="13">
        <v>55.312399999999997</v>
      </c>
      <c r="H20" s="13">
        <f t="shared" si="10"/>
        <v>59.184268000000003</v>
      </c>
      <c r="I20" s="13">
        <f t="shared" si="5"/>
        <v>991.75133199999993</v>
      </c>
      <c r="J20" s="13">
        <f t="shared" si="6"/>
        <v>1061.17392524</v>
      </c>
      <c r="K20" s="14">
        <f t="shared" si="1"/>
        <v>107</v>
      </c>
      <c r="L20" s="12"/>
      <c r="M20" s="13"/>
      <c r="N20" s="13">
        <f t="shared" si="7"/>
        <v>0</v>
      </c>
      <c r="O20" s="15"/>
      <c r="P20" s="15"/>
      <c r="Q20" s="15">
        <f t="shared" si="8"/>
        <v>0</v>
      </c>
      <c r="R20" s="15">
        <f t="shared" si="9"/>
        <v>0</v>
      </c>
      <c r="S20" s="16" t="e">
        <f t="shared" si="4"/>
        <v>#DIV/0!</v>
      </c>
    </row>
    <row r="21" spans="1:19" ht="45" x14ac:dyDescent="0.25">
      <c r="A21" s="22"/>
      <c r="B21" s="22"/>
      <c r="C21" s="11" t="s">
        <v>102</v>
      </c>
      <c r="D21" s="12">
        <v>11.45</v>
      </c>
      <c r="E21" s="13">
        <v>55.312399999999997</v>
      </c>
      <c r="F21" s="13">
        <f t="shared" si="0"/>
        <v>633.32697999999993</v>
      </c>
      <c r="G21" s="13">
        <v>55.312399999999997</v>
      </c>
      <c r="H21" s="13">
        <f t="shared" si="10"/>
        <v>59.184268000000003</v>
      </c>
      <c r="I21" s="13">
        <f t="shared" si="5"/>
        <v>633.32697999999993</v>
      </c>
      <c r="J21" s="13">
        <f t="shared" si="6"/>
        <v>677.65986859999998</v>
      </c>
      <c r="K21" s="14">
        <f t="shared" si="1"/>
        <v>107</v>
      </c>
      <c r="L21" s="12"/>
      <c r="M21" s="13"/>
      <c r="N21" s="13">
        <f t="shared" si="7"/>
        <v>0</v>
      </c>
      <c r="O21" s="15"/>
      <c r="P21" s="15"/>
      <c r="Q21" s="15">
        <f t="shared" si="8"/>
        <v>0</v>
      </c>
      <c r="R21" s="15">
        <f t="shared" si="9"/>
        <v>0</v>
      </c>
      <c r="S21" s="16" t="e">
        <f t="shared" si="4"/>
        <v>#DIV/0!</v>
      </c>
    </row>
    <row r="22" spans="1:19" ht="45" x14ac:dyDescent="0.25">
      <c r="A22" s="22"/>
      <c r="B22" s="22"/>
      <c r="C22" s="11" t="s">
        <v>103</v>
      </c>
      <c r="D22" s="12">
        <v>7.21</v>
      </c>
      <c r="E22" s="13">
        <v>55.312399999999997</v>
      </c>
      <c r="F22" s="13">
        <f t="shared" si="0"/>
        <v>398.80240399999997</v>
      </c>
      <c r="G22" s="13">
        <v>55.312399999999997</v>
      </c>
      <c r="H22" s="13">
        <f t="shared" si="10"/>
        <v>59.184268000000003</v>
      </c>
      <c r="I22" s="13">
        <f t="shared" si="5"/>
        <v>398.80240399999997</v>
      </c>
      <c r="J22" s="13">
        <f t="shared" si="6"/>
        <v>426.71857228000005</v>
      </c>
      <c r="K22" s="14">
        <f t="shared" si="1"/>
        <v>107</v>
      </c>
      <c r="L22" s="12"/>
      <c r="M22" s="13"/>
      <c r="N22" s="13">
        <f t="shared" si="7"/>
        <v>0</v>
      </c>
      <c r="O22" s="15"/>
      <c r="P22" s="15"/>
      <c r="Q22" s="15">
        <f t="shared" si="8"/>
        <v>0</v>
      </c>
      <c r="R22" s="15">
        <f t="shared" si="9"/>
        <v>0</v>
      </c>
      <c r="S22" s="16" t="e">
        <f t="shared" si="4"/>
        <v>#DIV/0!</v>
      </c>
    </row>
    <row r="23" spans="1:19" ht="45" x14ac:dyDescent="0.25">
      <c r="A23" s="22"/>
      <c r="B23" s="22"/>
      <c r="C23" s="11" t="s">
        <v>104</v>
      </c>
      <c r="D23" s="12">
        <v>4.97</v>
      </c>
      <c r="E23" s="13">
        <v>55.312399999999997</v>
      </c>
      <c r="F23" s="13">
        <f t="shared" si="0"/>
        <v>274.90262799999999</v>
      </c>
      <c r="G23" s="13">
        <v>55.312399999999997</v>
      </c>
      <c r="H23" s="13">
        <f t="shared" si="10"/>
        <v>59.184268000000003</v>
      </c>
      <c r="I23" s="13">
        <f t="shared" si="5"/>
        <v>274.90262799999999</v>
      </c>
      <c r="J23" s="13">
        <f t="shared" si="6"/>
        <v>294.14581196</v>
      </c>
      <c r="K23" s="14">
        <f t="shared" si="1"/>
        <v>107</v>
      </c>
      <c r="L23" s="12"/>
      <c r="M23" s="13"/>
      <c r="N23" s="13">
        <f t="shared" si="7"/>
        <v>0</v>
      </c>
      <c r="O23" s="15"/>
      <c r="P23" s="15"/>
      <c r="Q23" s="15">
        <f t="shared" si="8"/>
        <v>0</v>
      </c>
      <c r="R23" s="15">
        <f t="shared" si="9"/>
        <v>0</v>
      </c>
      <c r="S23" s="16" t="e">
        <f t="shared" si="4"/>
        <v>#DIV/0!</v>
      </c>
    </row>
    <row r="24" spans="1:19" ht="45" x14ac:dyDescent="0.25">
      <c r="A24" s="22"/>
      <c r="B24" s="22"/>
      <c r="C24" s="11" t="s">
        <v>105</v>
      </c>
      <c r="D24" s="12">
        <v>1.5</v>
      </c>
      <c r="E24" s="13">
        <v>55.312399999999997</v>
      </c>
      <c r="F24" s="13">
        <f t="shared" si="0"/>
        <v>82.968599999999995</v>
      </c>
      <c r="G24" s="13">
        <v>55.312399999999997</v>
      </c>
      <c r="H24" s="13">
        <f t="shared" si="10"/>
        <v>59.184268000000003</v>
      </c>
      <c r="I24" s="13">
        <f t="shared" si="5"/>
        <v>82.968599999999995</v>
      </c>
      <c r="J24" s="13">
        <f t="shared" si="6"/>
        <v>88.776402000000004</v>
      </c>
      <c r="K24" s="14">
        <f t="shared" si="1"/>
        <v>107</v>
      </c>
      <c r="L24" s="12"/>
      <c r="M24" s="13"/>
      <c r="N24" s="13">
        <f t="shared" si="7"/>
        <v>0</v>
      </c>
      <c r="O24" s="15"/>
      <c r="P24" s="15"/>
      <c r="Q24" s="15">
        <f t="shared" si="8"/>
        <v>0</v>
      </c>
      <c r="R24" s="15">
        <f t="shared" si="9"/>
        <v>0</v>
      </c>
      <c r="S24" s="16" t="e">
        <f t="shared" si="4"/>
        <v>#DIV/0!</v>
      </c>
    </row>
    <row r="25" spans="1:19" ht="77.25" customHeight="1" x14ac:dyDescent="0.25">
      <c r="A25" s="22"/>
      <c r="B25" s="22"/>
      <c r="C25" s="11" t="s">
        <v>106</v>
      </c>
      <c r="D25" s="12">
        <v>1.53</v>
      </c>
      <c r="E25" s="13">
        <v>55.312399999999997</v>
      </c>
      <c r="F25" s="13">
        <f t="shared" si="0"/>
        <v>84.627972</v>
      </c>
      <c r="G25" s="13">
        <v>55.312399999999997</v>
      </c>
      <c r="H25" s="13">
        <f t="shared" si="10"/>
        <v>59.184268000000003</v>
      </c>
      <c r="I25" s="13">
        <f t="shared" si="5"/>
        <v>84.627972</v>
      </c>
      <c r="J25" s="13">
        <f t="shared" si="6"/>
        <v>90.551930040000002</v>
      </c>
      <c r="K25" s="14">
        <f t="shared" si="1"/>
        <v>107</v>
      </c>
      <c r="L25" s="12"/>
      <c r="M25" s="13"/>
      <c r="N25" s="13">
        <f t="shared" si="7"/>
        <v>0</v>
      </c>
      <c r="O25" s="15"/>
      <c r="P25" s="15"/>
      <c r="Q25" s="15">
        <f t="shared" si="8"/>
        <v>0</v>
      </c>
      <c r="R25" s="15">
        <f t="shared" si="9"/>
        <v>0</v>
      </c>
      <c r="S25" s="16" t="e">
        <f t="shared" si="4"/>
        <v>#DIV/0!</v>
      </c>
    </row>
    <row r="26" spans="1:19" ht="54.75" customHeight="1" x14ac:dyDescent="0.25">
      <c r="A26" s="19"/>
      <c r="B26" s="19"/>
      <c r="C26" s="11" t="s">
        <v>233</v>
      </c>
      <c r="D26" s="12">
        <v>88.72</v>
      </c>
      <c r="E26" s="13">
        <v>25.91</v>
      </c>
      <c r="F26" s="13">
        <f t="shared" si="0"/>
        <v>2298.7352000000001</v>
      </c>
      <c r="G26" s="13">
        <v>25.91</v>
      </c>
      <c r="H26" s="13">
        <f t="shared" si="10"/>
        <v>27.723700000000001</v>
      </c>
      <c r="I26" s="13">
        <f t="shared" si="5"/>
        <v>2298.7352000000001</v>
      </c>
      <c r="J26" s="13">
        <f t="shared" si="6"/>
        <v>2459.6466639999999</v>
      </c>
      <c r="K26" s="14">
        <f t="shared" si="1"/>
        <v>107</v>
      </c>
      <c r="L26" s="12">
        <v>60.31</v>
      </c>
      <c r="M26" s="13">
        <v>34.19</v>
      </c>
      <c r="N26" s="13">
        <f t="shared" si="7"/>
        <v>2061.9989</v>
      </c>
      <c r="O26" s="15">
        <v>34.19</v>
      </c>
      <c r="P26" s="15">
        <f>O26*1.08</f>
        <v>36.925199999999997</v>
      </c>
      <c r="Q26" s="15">
        <f t="shared" si="8"/>
        <v>2061.9989</v>
      </c>
      <c r="R26" s="15">
        <f t="shared" si="9"/>
        <v>2226.9588119999999</v>
      </c>
      <c r="S26" s="16">
        <f t="shared" si="4"/>
        <v>107.99999999999999</v>
      </c>
    </row>
    <row r="27" spans="1:19" ht="105" x14ac:dyDescent="0.25">
      <c r="A27" s="2">
        <v>9</v>
      </c>
      <c r="B27" s="10" t="s">
        <v>6</v>
      </c>
      <c r="C27" s="11" t="s">
        <v>157</v>
      </c>
      <c r="D27" s="12">
        <v>56.22</v>
      </c>
      <c r="E27" s="13">
        <v>54.24</v>
      </c>
      <c r="F27" s="13">
        <f t="shared" si="0"/>
        <v>3049.3728000000001</v>
      </c>
      <c r="G27" s="13">
        <v>54.02</v>
      </c>
      <c r="H27" s="13">
        <v>54.02</v>
      </c>
      <c r="I27" s="13">
        <f t="shared" si="5"/>
        <v>3037.0044000000003</v>
      </c>
      <c r="J27" s="13">
        <f t="shared" si="6"/>
        <v>3037.0044000000003</v>
      </c>
      <c r="K27" s="14">
        <f t="shared" si="1"/>
        <v>99.594395280235986</v>
      </c>
      <c r="L27" s="12">
        <v>48.01</v>
      </c>
      <c r="M27" s="13">
        <v>72.150000000000006</v>
      </c>
      <c r="N27" s="13">
        <f t="shared" si="7"/>
        <v>3463.9214999999999</v>
      </c>
      <c r="O27" s="15">
        <v>67.930000000000007</v>
      </c>
      <c r="P27" s="15">
        <v>67.930000000000007</v>
      </c>
      <c r="Q27" s="15">
        <f t="shared" si="8"/>
        <v>3261.3193000000001</v>
      </c>
      <c r="R27" s="15">
        <f t="shared" si="9"/>
        <v>3261.3193000000001</v>
      </c>
      <c r="S27" s="16">
        <f t="shared" si="4"/>
        <v>100</v>
      </c>
    </row>
    <row r="28" spans="1:19" ht="75" x14ac:dyDescent="0.25">
      <c r="A28" s="2">
        <v>10</v>
      </c>
      <c r="B28" s="10" t="s">
        <v>194</v>
      </c>
      <c r="C28" s="11" t="s">
        <v>157</v>
      </c>
      <c r="D28" s="12"/>
      <c r="E28" s="13"/>
      <c r="F28" s="13">
        <f t="shared" si="0"/>
        <v>0</v>
      </c>
      <c r="G28" s="13"/>
      <c r="H28" s="13"/>
      <c r="I28" s="13">
        <f t="shared" si="5"/>
        <v>0</v>
      </c>
      <c r="J28" s="13">
        <f t="shared" si="6"/>
        <v>0</v>
      </c>
      <c r="K28" s="14" t="e">
        <f t="shared" si="1"/>
        <v>#DIV/0!</v>
      </c>
      <c r="L28" s="12"/>
      <c r="M28" s="13"/>
      <c r="N28" s="13">
        <f t="shared" si="7"/>
        <v>0</v>
      </c>
      <c r="O28" s="15"/>
      <c r="P28" s="15"/>
      <c r="Q28" s="15">
        <f t="shared" si="8"/>
        <v>0</v>
      </c>
      <c r="R28" s="15">
        <f t="shared" si="9"/>
        <v>0</v>
      </c>
      <c r="S28" s="16" t="e">
        <f t="shared" si="4"/>
        <v>#DIV/0!</v>
      </c>
    </row>
    <row r="29" spans="1:19" ht="60" x14ac:dyDescent="0.25">
      <c r="A29" s="17">
        <v>11</v>
      </c>
      <c r="B29" s="18" t="s">
        <v>115</v>
      </c>
      <c r="C29" s="11" t="s">
        <v>118</v>
      </c>
      <c r="D29" s="12">
        <v>47.21</v>
      </c>
      <c r="E29" s="13">
        <v>65.2</v>
      </c>
      <c r="F29" s="13">
        <f t="shared" si="0"/>
        <v>3078.0920000000001</v>
      </c>
      <c r="G29" s="13">
        <v>65.2</v>
      </c>
      <c r="H29" s="13">
        <f t="shared" ref="H29:H34" si="11">G29*1.07</f>
        <v>69.76400000000001</v>
      </c>
      <c r="I29" s="13">
        <f t="shared" si="5"/>
        <v>3078.0920000000001</v>
      </c>
      <c r="J29" s="13">
        <f t="shared" si="6"/>
        <v>3293.5584400000007</v>
      </c>
      <c r="K29" s="14">
        <f t="shared" si="1"/>
        <v>107</v>
      </c>
      <c r="L29" s="12">
        <v>14.2</v>
      </c>
      <c r="M29" s="13">
        <v>75.430000000000007</v>
      </c>
      <c r="N29" s="13">
        <f t="shared" si="7"/>
        <v>1071.106</v>
      </c>
      <c r="O29" s="15">
        <v>75.430000000000007</v>
      </c>
      <c r="P29" s="15">
        <f>O29*1.07</f>
        <v>80.710100000000011</v>
      </c>
      <c r="Q29" s="15">
        <f t="shared" si="8"/>
        <v>1071.106</v>
      </c>
      <c r="R29" s="15">
        <f t="shared" si="9"/>
        <v>1146.0834200000002</v>
      </c>
      <c r="S29" s="16">
        <f t="shared" si="4"/>
        <v>107</v>
      </c>
    </row>
    <row r="30" spans="1:19" ht="120" x14ac:dyDescent="0.25">
      <c r="A30" s="20"/>
      <c r="B30" s="21"/>
      <c r="C30" s="11" t="s">
        <v>216</v>
      </c>
      <c r="D30" s="12">
        <f>1.56+7.07+8.31</f>
        <v>16.940000000000001</v>
      </c>
      <c r="E30" s="13">
        <v>67.56</v>
      </c>
      <c r="F30" s="13">
        <f t="shared" si="0"/>
        <v>1144.4664</v>
      </c>
      <c r="G30" s="13">
        <v>67.56</v>
      </c>
      <c r="H30" s="13">
        <f t="shared" si="11"/>
        <v>72.289200000000008</v>
      </c>
      <c r="I30" s="13">
        <f t="shared" si="5"/>
        <v>1144.4664</v>
      </c>
      <c r="J30" s="13">
        <f t="shared" si="6"/>
        <v>1224.5790480000003</v>
      </c>
      <c r="K30" s="14">
        <f t="shared" si="1"/>
        <v>107</v>
      </c>
      <c r="L30" s="12"/>
      <c r="M30" s="13"/>
      <c r="N30" s="13">
        <f t="shared" si="7"/>
        <v>0</v>
      </c>
      <c r="O30" s="15"/>
      <c r="P30" s="15"/>
      <c r="Q30" s="15">
        <f t="shared" si="8"/>
        <v>0</v>
      </c>
      <c r="R30" s="15">
        <f t="shared" si="9"/>
        <v>0</v>
      </c>
      <c r="S30" s="16" t="e">
        <f t="shared" si="4"/>
        <v>#DIV/0!</v>
      </c>
    </row>
    <row r="31" spans="1:19" ht="45" x14ac:dyDescent="0.25">
      <c r="A31" s="22"/>
      <c r="B31" s="22"/>
      <c r="C31" s="11" t="s">
        <v>47</v>
      </c>
      <c r="D31" s="12">
        <v>18.239999999999998</v>
      </c>
      <c r="E31" s="13">
        <v>50.782159999999998</v>
      </c>
      <c r="F31" s="13">
        <f t="shared" si="0"/>
        <v>926.26659839999991</v>
      </c>
      <c r="G31" s="13">
        <v>50.782159999999998</v>
      </c>
      <c r="H31" s="13">
        <f t="shared" si="11"/>
        <v>54.336911200000003</v>
      </c>
      <c r="I31" s="13">
        <f t="shared" si="5"/>
        <v>926.26659839999991</v>
      </c>
      <c r="J31" s="13">
        <f t="shared" si="6"/>
        <v>991.10526028799995</v>
      </c>
      <c r="K31" s="14">
        <f t="shared" si="1"/>
        <v>107</v>
      </c>
      <c r="L31" s="12"/>
      <c r="M31" s="13"/>
      <c r="N31" s="13">
        <f t="shared" si="7"/>
        <v>0</v>
      </c>
      <c r="O31" s="15"/>
      <c r="P31" s="15"/>
      <c r="Q31" s="15">
        <f t="shared" si="8"/>
        <v>0</v>
      </c>
      <c r="R31" s="15">
        <f t="shared" si="9"/>
        <v>0</v>
      </c>
      <c r="S31" s="16" t="e">
        <f t="shared" si="4"/>
        <v>#DIV/0!</v>
      </c>
    </row>
    <row r="32" spans="1:19" ht="30" x14ac:dyDescent="0.25">
      <c r="A32" s="22"/>
      <c r="B32" s="22"/>
      <c r="C32" s="11" t="s">
        <v>48</v>
      </c>
      <c r="D32" s="12">
        <v>17.14</v>
      </c>
      <c r="E32" s="13">
        <v>63.32</v>
      </c>
      <c r="F32" s="13">
        <f t="shared" si="0"/>
        <v>1085.3048000000001</v>
      </c>
      <c r="G32" s="13">
        <v>63.32</v>
      </c>
      <c r="H32" s="13">
        <f t="shared" si="11"/>
        <v>67.752400000000009</v>
      </c>
      <c r="I32" s="13">
        <f t="shared" si="5"/>
        <v>1085.3048000000001</v>
      </c>
      <c r="J32" s="13">
        <f t="shared" si="6"/>
        <v>1161.2761360000002</v>
      </c>
      <c r="K32" s="14">
        <f t="shared" si="1"/>
        <v>107</v>
      </c>
      <c r="L32" s="12"/>
      <c r="M32" s="13"/>
      <c r="N32" s="13">
        <f t="shared" si="7"/>
        <v>0</v>
      </c>
      <c r="O32" s="15"/>
      <c r="P32" s="15"/>
      <c r="Q32" s="15">
        <f t="shared" si="8"/>
        <v>0</v>
      </c>
      <c r="R32" s="15">
        <f t="shared" si="9"/>
        <v>0</v>
      </c>
      <c r="S32" s="16" t="e">
        <f t="shared" si="4"/>
        <v>#DIV/0!</v>
      </c>
    </row>
    <row r="33" spans="1:19" ht="45" x14ac:dyDescent="0.25">
      <c r="A33" s="22"/>
      <c r="B33" s="22"/>
      <c r="C33" s="11" t="s">
        <v>49</v>
      </c>
      <c r="D33" s="12">
        <v>4.95</v>
      </c>
      <c r="E33" s="13">
        <v>59.74</v>
      </c>
      <c r="F33" s="13">
        <f t="shared" si="0"/>
        <v>295.71300000000002</v>
      </c>
      <c r="G33" s="13">
        <v>59.74</v>
      </c>
      <c r="H33" s="13">
        <f t="shared" si="11"/>
        <v>63.921800000000005</v>
      </c>
      <c r="I33" s="13">
        <f t="shared" si="5"/>
        <v>295.71300000000002</v>
      </c>
      <c r="J33" s="13">
        <f t="shared" si="6"/>
        <v>316.41291000000001</v>
      </c>
      <c r="K33" s="14">
        <f t="shared" si="1"/>
        <v>107</v>
      </c>
      <c r="L33" s="12"/>
      <c r="M33" s="13"/>
      <c r="N33" s="13">
        <f t="shared" si="7"/>
        <v>0</v>
      </c>
      <c r="O33" s="15"/>
      <c r="P33" s="15"/>
      <c r="Q33" s="15">
        <f t="shared" si="8"/>
        <v>0</v>
      </c>
      <c r="R33" s="15">
        <f t="shared" si="9"/>
        <v>0</v>
      </c>
      <c r="S33" s="16" t="e">
        <f t="shared" si="4"/>
        <v>#DIV/0!</v>
      </c>
    </row>
    <row r="34" spans="1:19" ht="45" x14ac:dyDescent="0.25">
      <c r="A34" s="19"/>
      <c r="B34" s="19"/>
      <c r="C34" s="11" t="s">
        <v>220</v>
      </c>
      <c r="D34" s="12">
        <v>19.5</v>
      </c>
      <c r="E34" s="13">
        <v>41.435679999999998</v>
      </c>
      <c r="F34" s="13">
        <f t="shared" si="0"/>
        <v>807.9957599999999</v>
      </c>
      <c r="G34" s="13">
        <v>41.435679999999998</v>
      </c>
      <c r="H34" s="13">
        <f t="shared" si="11"/>
        <v>44.336177599999999</v>
      </c>
      <c r="I34" s="13">
        <f t="shared" si="5"/>
        <v>807.9957599999999</v>
      </c>
      <c r="J34" s="13">
        <f t="shared" si="6"/>
        <v>864.55546319999996</v>
      </c>
      <c r="K34" s="14">
        <f t="shared" si="1"/>
        <v>107</v>
      </c>
      <c r="L34" s="12"/>
      <c r="M34" s="13"/>
      <c r="N34" s="13">
        <f t="shared" si="7"/>
        <v>0</v>
      </c>
      <c r="O34" s="15"/>
      <c r="P34" s="15"/>
      <c r="Q34" s="15">
        <f t="shared" si="8"/>
        <v>0</v>
      </c>
      <c r="R34" s="15">
        <f t="shared" si="9"/>
        <v>0</v>
      </c>
      <c r="S34" s="16" t="e">
        <f t="shared" si="4"/>
        <v>#DIV/0!</v>
      </c>
    </row>
    <row r="35" spans="1:19" ht="60" x14ac:dyDescent="0.25">
      <c r="A35" s="2">
        <v>12</v>
      </c>
      <c r="B35" s="10" t="s">
        <v>195</v>
      </c>
      <c r="C35" s="11" t="s">
        <v>118</v>
      </c>
      <c r="D35" s="12"/>
      <c r="E35" s="13"/>
      <c r="F35" s="13">
        <f t="shared" si="0"/>
        <v>0</v>
      </c>
      <c r="G35" s="13"/>
      <c r="H35" s="13"/>
      <c r="I35" s="13">
        <f t="shared" si="5"/>
        <v>0</v>
      </c>
      <c r="J35" s="13">
        <f t="shared" si="6"/>
        <v>0</v>
      </c>
      <c r="K35" s="14"/>
      <c r="L35" s="12"/>
      <c r="M35" s="13"/>
      <c r="N35" s="13">
        <f t="shared" si="7"/>
        <v>0</v>
      </c>
      <c r="O35" s="15"/>
      <c r="P35" s="15"/>
      <c r="Q35" s="15">
        <f t="shared" si="8"/>
        <v>0</v>
      </c>
      <c r="R35" s="15">
        <f t="shared" si="9"/>
        <v>0</v>
      </c>
      <c r="S35" s="16" t="e">
        <f t="shared" si="4"/>
        <v>#DIV/0!</v>
      </c>
    </row>
    <row r="36" spans="1:19" ht="45" x14ac:dyDescent="0.25">
      <c r="A36" s="2">
        <v>13</v>
      </c>
      <c r="B36" s="10" t="s">
        <v>7</v>
      </c>
      <c r="C36" s="11" t="s">
        <v>140</v>
      </c>
      <c r="D36" s="12">
        <v>75.2</v>
      </c>
      <c r="E36" s="13">
        <v>62.52</v>
      </c>
      <c r="F36" s="13">
        <f t="shared" si="0"/>
        <v>4701.5040000000008</v>
      </c>
      <c r="G36" s="13">
        <v>62.52</v>
      </c>
      <c r="H36" s="13">
        <v>70.260000000000005</v>
      </c>
      <c r="I36" s="13">
        <f t="shared" si="5"/>
        <v>4701.5040000000008</v>
      </c>
      <c r="J36" s="13">
        <f t="shared" si="6"/>
        <v>5283.5520000000006</v>
      </c>
      <c r="K36" s="14">
        <f t="shared" ref="K36:K99" si="12">H36/E36*100</f>
        <v>112.38003838771593</v>
      </c>
      <c r="L36" s="12"/>
      <c r="M36" s="13"/>
      <c r="N36" s="13">
        <f t="shared" si="7"/>
        <v>0</v>
      </c>
      <c r="O36" s="15"/>
      <c r="P36" s="15"/>
      <c r="Q36" s="15">
        <f t="shared" si="8"/>
        <v>0</v>
      </c>
      <c r="R36" s="15">
        <f t="shared" si="9"/>
        <v>0</v>
      </c>
      <c r="S36" s="16" t="e">
        <f t="shared" si="4"/>
        <v>#DIV/0!</v>
      </c>
    </row>
    <row r="37" spans="1:19" ht="45" x14ac:dyDescent="0.25">
      <c r="A37" s="2">
        <v>14</v>
      </c>
      <c r="B37" s="10" t="s">
        <v>120</v>
      </c>
      <c r="C37" s="11" t="s">
        <v>163</v>
      </c>
      <c r="D37" s="12">
        <v>77.06</v>
      </c>
      <c r="E37" s="13">
        <v>34.46</v>
      </c>
      <c r="F37" s="13">
        <f t="shared" si="0"/>
        <v>2655.4875999999999</v>
      </c>
      <c r="G37" s="13">
        <v>34.46</v>
      </c>
      <c r="H37" s="13">
        <f>39.59</f>
        <v>39.590000000000003</v>
      </c>
      <c r="I37" s="13">
        <f t="shared" si="5"/>
        <v>2655.4875999999999</v>
      </c>
      <c r="J37" s="13">
        <f t="shared" si="6"/>
        <v>3050.8054000000002</v>
      </c>
      <c r="K37" s="14">
        <f t="shared" si="12"/>
        <v>114.88682530470112</v>
      </c>
      <c r="L37" s="12">
        <v>50.19</v>
      </c>
      <c r="M37" s="13">
        <v>24.9</v>
      </c>
      <c r="N37" s="13">
        <f t="shared" si="7"/>
        <v>1249.7309999999998</v>
      </c>
      <c r="O37" s="15">
        <v>24.9</v>
      </c>
      <c r="P37" s="15">
        <f>28.6</f>
        <v>28.6</v>
      </c>
      <c r="Q37" s="15">
        <f t="shared" si="8"/>
        <v>1249.7309999999998</v>
      </c>
      <c r="R37" s="15">
        <f t="shared" si="9"/>
        <v>1435.434</v>
      </c>
      <c r="S37" s="16">
        <f t="shared" si="4"/>
        <v>114.85943775100405</v>
      </c>
    </row>
    <row r="38" spans="1:19" ht="59.25" customHeight="1" x14ac:dyDescent="0.25">
      <c r="A38" s="2">
        <v>15</v>
      </c>
      <c r="B38" s="10" t="s">
        <v>180</v>
      </c>
      <c r="C38" s="11" t="s">
        <v>163</v>
      </c>
      <c r="D38" s="12"/>
      <c r="E38" s="13"/>
      <c r="F38" s="13">
        <f t="shared" si="0"/>
        <v>0</v>
      </c>
      <c r="G38" s="13"/>
      <c r="H38" s="13"/>
      <c r="I38" s="13">
        <f t="shared" si="5"/>
        <v>0</v>
      </c>
      <c r="J38" s="13">
        <f t="shared" si="6"/>
        <v>0</v>
      </c>
      <c r="K38" s="14" t="e">
        <f t="shared" si="12"/>
        <v>#DIV/0!</v>
      </c>
      <c r="L38" s="12"/>
      <c r="M38" s="13"/>
      <c r="N38" s="13">
        <f t="shared" si="7"/>
        <v>0</v>
      </c>
      <c r="O38" s="15"/>
      <c r="P38" s="15"/>
      <c r="Q38" s="15">
        <f t="shared" si="8"/>
        <v>0</v>
      </c>
      <c r="R38" s="15">
        <f t="shared" si="9"/>
        <v>0</v>
      </c>
      <c r="S38" s="16" t="e">
        <f t="shared" si="4"/>
        <v>#DIV/0!</v>
      </c>
    </row>
    <row r="39" spans="1:19" ht="281.25" customHeight="1" x14ac:dyDescent="0.25">
      <c r="A39" s="2">
        <v>16</v>
      </c>
      <c r="B39" s="10" t="s">
        <v>8</v>
      </c>
      <c r="C39" s="11" t="s">
        <v>256</v>
      </c>
      <c r="D39" s="12">
        <v>21.736000000000001</v>
      </c>
      <c r="E39" s="13">
        <v>34.549999999999997</v>
      </c>
      <c r="F39" s="13">
        <f t="shared" si="0"/>
        <v>750.97879999999998</v>
      </c>
      <c r="G39" s="13">
        <v>34.549999999999997</v>
      </c>
      <c r="H39" s="13">
        <v>38.96</v>
      </c>
      <c r="I39" s="13">
        <f t="shared" si="5"/>
        <v>750.97879999999998</v>
      </c>
      <c r="J39" s="13">
        <f t="shared" si="6"/>
        <v>846.83456000000001</v>
      </c>
      <c r="K39" s="14">
        <f t="shared" si="12"/>
        <v>112.76410998552824</v>
      </c>
      <c r="L39" s="12"/>
      <c r="M39" s="13"/>
      <c r="N39" s="13">
        <f t="shared" si="7"/>
        <v>0</v>
      </c>
      <c r="O39" s="15"/>
      <c r="P39" s="15"/>
      <c r="Q39" s="15">
        <f t="shared" si="8"/>
        <v>0</v>
      </c>
      <c r="R39" s="15">
        <f t="shared" si="9"/>
        <v>0</v>
      </c>
      <c r="S39" s="16" t="e">
        <f t="shared" si="4"/>
        <v>#DIV/0!</v>
      </c>
    </row>
    <row r="40" spans="1:19" ht="45" x14ac:dyDescent="0.25">
      <c r="A40" s="17">
        <v>17</v>
      </c>
      <c r="B40" s="18" t="s">
        <v>115</v>
      </c>
      <c r="C40" s="11" t="s">
        <v>125</v>
      </c>
      <c r="D40" s="12">
        <v>5.4</v>
      </c>
      <c r="E40" s="13">
        <v>65.510000000000005</v>
      </c>
      <c r="F40" s="13">
        <f t="shared" si="0"/>
        <v>353.75400000000008</v>
      </c>
      <c r="G40" s="13">
        <v>65.510000000000005</v>
      </c>
      <c r="H40" s="13">
        <f>G40*1.07</f>
        <v>70.095700000000008</v>
      </c>
      <c r="I40" s="13">
        <f t="shared" si="5"/>
        <v>353.75400000000008</v>
      </c>
      <c r="J40" s="13">
        <f t="shared" si="6"/>
        <v>378.51678000000004</v>
      </c>
      <c r="K40" s="14">
        <f t="shared" si="12"/>
        <v>107</v>
      </c>
      <c r="L40" s="12"/>
      <c r="M40" s="13"/>
      <c r="N40" s="13">
        <f t="shared" si="7"/>
        <v>0</v>
      </c>
      <c r="O40" s="15"/>
      <c r="P40" s="15"/>
      <c r="Q40" s="15">
        <f t="shared" si="8"/>
        <v>0</v>
      </c>
      <c r="R40" s="15">
        <f t="shared" si="9"/>
        <v>0</v>
      </c>
      <c r="S40" s="16" t="e">
        <f t="shared" si="4"/>
        <v>#DIV/0!</v>
      </c>
    </row>
    <row r="41" spans="1:19" ht="45" x14ac:dyDescent="0.25">
      <c r="A41" s="22"/>
      <c r="B41" s="22"/>
      <c r="C41" s="11" t="s">
        <v>206</v>
      </c>
      <c r="D41" s="12">
        <v>16.079999999999998</v>
      </c>
      <c r="E41" s="13">
        <v>56.42</v>
      </c>
      <c r="F41" s="13">
        <f t="shared" si="0"/>
        <v>907.23359999999991</v>
      </c>
      <c r="G41" s="13">
        <v>56.42</v>
      </c>
      <c r="H41" s="13">
        <f t="shared" ref="H41:H50" si="13">G41*1.07</f>
        <v>60.369400000000006</v>
      </c>
      <c r="I41" s="13">
        <f t="shared" si="5"/>
        <v>907.23359999999991</v>
      </c>
      <c r="J41" s="13">
        <f t="shared" si="6"/>
        <v>970.73995200000002</v>
      </c>
      <c r="K41" s="14">
        <f t="shared" si="12"/>
        <v>107</v>
      </c>
      <c r="L41" s="12"/>
      <c r="M41" s="13"/>
      <c r="N41" s="13">
        <f t="shared" si="7"/>
        <v>0</v>
      </c>
      <c r="O41" s="15"/>
      <c r="P41" s="15"/>
      <c r="Q41" s="15">
        <f t="shared" si="8"/>
        <v>0</v>
      </c>
      <c r="R41" s="15">
        <f t="shared" si="9"/>
        <v>0</v>
      </c>
      <c r="S41" s="16" t="e">
        <f t="shared" si="4"/>
        <v>#DIV/0!</v>
      </c>
    </row>
    <row r="42" spans="1:19" ht="60" x14ac:dyDescent="0.25">
      <c r="A42" s="22"/>
      <c r="B42" s="22"/>
      <c r="C42" s="11" t="s">
        <v>207</v>
      </c>
      <c r="D42" s="12">
        <v>5.17</v>
      </c>
      <c r="E42" s="13">
        <v>65.47</v>
      </c>
      <c r="F42" s="13">
        <f t="shared" si="0"/>
        <v>338.47989999999999</v>
      </c>
      <c r="G42" s="13">
        <v>65.47</v>
      </c>
      <c r="H42" s="13">
        <f t="shared" si="13"/>
        <v>70.052900000000008</v>
      </c>
      <c r="I42" s="13">
        <f t="shared" si="5"/>
        <v>338.47989999999999</v>
      </c>
      <c r="J42" s="13">
        <f t="shared" si="6"/>
        <v>362.17349300000006</v>
      </c>
      <c r="K42" s="14">
        <f t="shared" si="12"/>
        <v>107</v>
      </c>
      <c r="L42" s="12"/>
      <c r="M42" s="13"/>
      <c r="N42" s="13">
        <f t="shared" si="7"/>
        <v>0</v>
      </c>
      <c r="O42" s="15"/>
      <c r="P42" s="15"/>
      <c r="Q42" s="15">
        <f t="shared" si="8"/>
        <v>0</v>
      </c>
      <c r="R42" s="15">
        <f t="shared" si="9"/>
        <v>0</v>
      </c>
      <c r="S42" s="16" t="e">
        <f t="shared" si="4"/>
        <v>#DIV/0!</v>
      </c>
    </row>
    <row r="43" spans="1:19" ht="60" x14ac:dyDescent="0.25">
      <c r="A43" s="22"/>
      <c r="B43" s="22"/>
      <c r="C43" s="11" t="s">
        <v>208</v>
      </c>
      <c r="D43" s="12">
        <v>8.94</v>
      </c>
      <c r="E43" s="13">
        <v>61.38</v>
      </c>
      <c r="F43" s="13">
        <f t="shared" si="0"/>
        <v>548.73720000000003</v>
      </c>
      <c r="G43" s="13">
        <v>61.38</v>
      </c>
      <c r="H43" s="13">
        <f t="shared" si="13"/>
        <v>65.676600000000008</v>
      </c>
      <c r="I43" s="13">
        <f t="shared" si="5"/>
        <v>548.73720000000003</v>
      </c>
      <c r="J43" s="13">
        <f t="shared" si="6"/>
        <v>587.14880400000004</v>
      </c>
      <c r="K43" s="14">
        <f t="shared" si="12"/>
        <v>107</v>
      </c>
      <c r="L43" s="12"/>
      <c r="M43" s="13"/>
      <c r="N43" s="13">
        <f t="shared" si="7"/>
        <v>0</v>
      </c>
      <c r="O43" s="15"/>
      <c r="P43" s="15"/>
      <c r="Q43" s="15">
        <f t="shared" si="8"/>
        <v>0</v>
      </c>
      <c r="R43" s="15">
        <f t="shared" si="9"/>
        <v>0</v>
      </c>
      <c r="S43" s="16" t="e">
        <f t="shared" si="4"/>
        <v>#DIV/0!</v>
      </c>
    </row>
    <row r="44" spans="1:19" ht="63.75" customHeight="1" x14ac:dyDescent="0.25">
      <c r="A44" s="22"/>
      <c r="B44" s="22"/>
      <c r="C44" s="11" t="s">
        <v>209</v>
      </c>
      <c r="D44" s="12">
        <v>15.18</v>
      </c>
      <c r="E44" s="13">
        <v>54.25</v>
      </c>
      <c r="F44" s="13">
        <f t="shared" si="0"/>
        <v>823.51499999999999</v>
      </c>
      <c r="G44" s="13">
        <v>54.25</v>
      </c>
      <c r="H44" s="13">
        <f t="shared" si="13"/>
        <v>58.047500000000007</v>
      </c>
      <c r="I44" s="13">
        <f t="shared" si="5"/>
        <v>823.51499999999999</v>
      </c>
      <c r="J44" s="13">
        <f t="shared" si="6"/>
        <v>881.16105000000005</v>
      </c>
      <c r="K44" s="14">
        <f t="shared" si="12"/>
        <v>107</v>
      </c>
      <c r="L44" s="12"/>
      <c r="M44" s="13"/>
      <c r="N44" s="13">
        <f t="shared" si="7"/>
        <v>0</v>
      </c>
      <c r="O44" s="15"/>
      <c r="P44" s="15"/>
      <c r="Q44" s="15">
        <f t="shared" si="8"/>
        <v>0</v>
      </c>
      <c r="R44" s="15">
        <f t="shared" si="9"/>
        <v>0</v>
      </c>
      <c r="S44" s="16" t="e">
        <f t="shared" si="4"/>
        <v>#DIV/0!</v>
      </c>
    </row>
    <row r="45" spans="1:19" ht="127.5" customHeight="1" x14ac:dyDescent="0.25">
      <c r="A45" s="22"/>
      <c r="B45" s="22"/>
      <c r="C45" s="11" t="s">
        <v>211</v>
      </c>
      <c r="D45" s="12">
        <f>3.14+6.29+8.76+5.05+7.95</f>
        <v>31.189999999999998</v>
      </c>
      <c r="E45" s="13">
        <v>67.86</v>
      </c>
      <c r="F45" s="13">
        <f t="shared" si="0"/>
        <v>2116.5533999999998</v>
      </c>
      <c r="G45" s="13">
        <v>67.86</v>
      </c>
      <c r="H45" s="13">
        <f t="shared" si="13"/>
        <v>72.610200000000006</v>
      </c>
      <c r="I45" s="13">
        <f t="shared" si="5"/>
        <v>2116.5533999999998</v>
      </c>
      <c r="J45" s="13">
        <f t="shared" si="6"/>
        <v>2264.7121379999999</v>
      </c>
      <c r="K45" s="14">
        <f t="shared" si="12"/>
        <v>107</v>
      </c>
      <c r="L45" s="12"/>
      <c r="M45" s="13"/>
      <c r="N45" s="13">
        <f t="shared" si="7"/>
        <v>0</v>
      </c>
      <c r="O45" s="15"/>
      <c r="P45" s="15"/>
      <c r="Q45" s="15">
        <f t="shared" si="8"/>
        <v>0</v>
      </c>
      <c r="R45" s="15">
        <f t="shared" si="9"/>
        <v>0</v>
      </c>
      <c r="S45" s="16" t="e">
        <f t="shared" si="4"/>
        <v>#DIV/0!</v>
      </c>
    </row>
    <row r="46" spans="1:19" ht="45" x14ac:dyDescent="0.25">
      <c r="A46" s="22"/>
      <c r="B46" s="22"/>
      <c r="C46" s="11" t="s">
        <v>212</v>
      </c>
      <c r="D46" s="12">
        <v>10.86</v>
      </c>
      <c r="E46" s="13">
        <v>58.961759999999991</v>
      </c>
      <c r="F46" s="13">
        <f t="shared" si="0"/>
        <v>640.32471359999988</v>
      </c>
      <c r="G46" s="13">
        <v>58.961759999999991</v>
      </c>
      <c r="H46" s="13">
        <f t="shared" si="13"/>
        <v>63.089083199999997</v>
      </c>
      <c r="I46" s="13">
        <f t="shared" si="5"/>
        <v>640.32471359999988</v>
      </c>
      <c r="J46" s="13">
        <f t="shared" si="6"/>
        <v>685.14744355199991</v>
      </c>
      <c r="K46" s="14">
        <f t="shared" si="12"/>
        <v>107</v>
      </c>
      <c r="L46" s="12"/>
      <c r="M46" s="13"/>
      <c r="N46" s="13">
        <f t="shared" si="7"/>
        <v>0</v>
      </c>
      <c r="O46" s="15"/>
      <c r="P46" s="15"/>
      <c r="Q46" s="15">
        <f t="shared" si="8"/>
        <v>0</v>
      </c>
      <c r="R46" s="15">
        <f t="shared" si="9"/>
        <v>0</v>
      </c>
      <c r="S46" s="16" t="e">
        <f t="shared" si="4"/>
        <v>#DIV/0!</v>
      </c>
    </row>
    <row r="47" spans="1:19" ht="70.5" customHeight="1" x14ac:dyDescent="0.25">
      <c r="A47" s="22"/>
      <c r="B47" s="22"/>
      <c r="C47" s="11" t="s">
        <v>210</v>
      </c>
      <c r="D47" s="12">
        <v>18.21</v>
      </c>
      <c r="E47" s="13">
        <v>58.835919999999994</v>
      </c>
      <c r="F47" s="13">
        <f t="shared" si="0"/>
        <v>1071.4021032000001</v>
      </c>
      <c r="G47" s="13">
        <v>58.835919999999994</v>
      </c>
      <c r="H47" s="13">
        <f t="shared" si="13"/>
        <v>62.954434399999997</v>
      </c>
      <c r="I47" s="13">
        <f t="shared" si="5"/>
        <v>1071.4021032000001</v>
      </c>
      <c r="J47" s="13">
        <f t="shared" si="6"/>
        <v>1146.400250424</v>
      </c>
      <c r="K47" s="14">
        <f t="shared" si="12"/>
        <v>107</v>
      </c>
      <c r="L47" s="12"/>
      <c r="M47" s="13"/>
      <c r="N47" s="13">
        <f t="shared" si="7"/>
        <v>0</v>
      </c>
      <c r="O47" s="15"/>
      <c r="P47" s="15"/>
      <c r="Q47" s="15">
        <f t="shared" si="8"/>
        <v>0</v>
      </c>
      <c r="R47" s="15">
        <f t="shared" si="9"/>
        <v>0</v>
      </c>
      <c r="S47" s="16" t="e">
        <f t="shared" si="4"/>
        <v>#DIV/0!</v>
      </c>
    </row>
    <row r="48" spans="1:19" ht="54" customHeight="1" x14ac:dyDescent="0.25">
      <c r="A48" s="22"/>
      <c r="B48" s="22"/>
      <c r="C48" s="11" t="s">
        <v>50</v>
      </c>
      <c r="D48" s="12">
        <v>14.82</v>
      </c>
      <c r="E48" s="13">
        <v>63.32</v>
      </c>
      <c r="F48" s="13">
        <f t="shared" si="0"/>
        <v>938.40240000000006</v>
      </c>
      <c r="G48" s="13">
        <v>63.32</v>
      </c>
      <c r="H48" s="13">
        <f t="shared" si="13"/>
        <v>67.752400000000009</v>
      </c>
      <c r="I48" s="13">
        <f t="shared" si="5"/>
        <v>938.40240000000006</v>
      </c>
      <c r="J48" s="13">
        <f t="shared" si="6"/>
        <v>1004.0905680000002</v>
      </c>
      <c r="K48" s="14">
        <f t="shared" si="12"/>
        <v>107</v>
      </c>
      <c r="L48" s="12"/>
      <c r="M48" s="13"/>
      <c r="N48" s="13">
        <f t="shared" si="7"/>
        <v>0</v>
      </c>
      <c r="O48" s="15"/>
      <c r="P48" s="15"/>
      <c r="Q48" s="15">
        <f t="shared" si="8"/>
        <v>0</v>
      </c>
      <c r="R48" s="15">
        <f t="shared" si="9"/>
        <v>0</v>
      </c>
      <c r="S48" s="16" t="e">
        <f t="shared" si="4"/>
        <v>#DIV/0!</v>
      </c>
    </row>
    <row r="49" spans="1:19" ht="51.75" customHeight="1" x14ac:dyDescent="0.25">
      <c r="A49" s="22"/>
      <c r="B49" s="22"/>
      <c r="C49" s="11" t="s">
        <v>121</v>
      </c>
      <c r="D49" s="12">
        <v>105.11</v>
      </c>
      <c r="E49" s="13">
        <v>53.86</v>
      </c>
      <c r="F49" s="13">
        <f t="shared" si="0"/>
        <v>5661.2245999999996</v>
      </c>
      <c r="G49" s="13">
        <v>53.86</v>
      </c>
      <c r="H49" s="13">
        <f t="shared" si="13"/>
        <v>57.630200000000002</v>
      </c>
      <c r="I49" s="13">
        <f t="shared" si="5"/>
        <v>5661.2245999999996</v>
      </c>
      <c r="J49" s="13">
        <f t="shared" si="6"/>
        <v>6057.5103220000001</v>
      </c>
      <c r="K49" s="14">
        <f t="shared" si="12"/>
        <v>107</v>
      </c>
      <c r="L49" s="12">
        <v>17.399999999999999</v>
      </c>
      <c r="M49" s="13">
        <v>73.562100000000001</v>
      </c>
      <c r="N49" s="13">
        <f t="shared" si="7"/>
        <v>1279.98054</v>
      </c>
      <c r="O49" s="15">
        <v>73.562100000000001</v>
      </c>
      <c r="P49" s="15">
        <f>O49*1.07</f>
        <v>78.711447000000007</v>
      </c>
      <c r="Q49" s="15">
        <f t="shared" si="8"/>
        <v>1279.98054</v>
      </c>
      <c r="R49" s="15">
        <f t="shared" si="9"/>
        <v>1369.5791778</v>
      </c>
      <c r="S49" s="16">
        <f t="shared" si="4"/>
        <v>107</v>
      </c>
    </row>
    <row r="50" spans="1:19" ht="63.75" customHeight="1" x14ac:dyDescent="0.25">
      <c r="A50" s="19"/>
      <c r="B50" s="19"/>
      <c r="C50" s="11" t="s">
        <v>253</v>
      </c>
      <c r="D50" s="12">
        <v>37.840000000000003</v>
      </c>
      <c r="E50" s="13">
        <v>35.76</v>
      </c>
      <c r="F50" s="13">
        <f t="shared" si="0"/>
        <v>1353.1584</v>
      </c>
      <c r="G50" s="13">
        <v>35.76</v>
      </c>
      <c r="H50" s="13">
        <f t="shared" si="13"/>
        <v>38.263199999999998</v>
      </c>
      <c r="I50" s="13">
        <f t="shared" si="5"/>
        <v>1353.1584</v>
      </c>
      <c r="J50" s="13">
        <f t="shared" si="6"/>
        <v>1447.879488</v>
      </c>
      <c r="K50" s="14">
        <f t="shared" si="12"/>
        <v>107</v>
      </c>
      <c r="L50" s="12"/>
      <c r="M50" s="13"/>
      <c r="N50" s="13">
        <f t="shared" si="7"/>
        <v>0</v>
      </c>
      <c r="O50" s="15"/>
      <c r="P50" s="15"/>
      <c r="Q50" s="15">
        <f t="shared" si="8"/>
        <v>0</v>
      </c>
      <c r="R50" s="15">
        <f t="shared" si="9"/>
        <v>0</v>
      </c>
      <c r="S50" s="16" t="e">
        <f t="shared" si="4"/>
        <v>#DIV/0!</v>
      </c>
    </row>
    <row r="51" spans="1:19" ht="45" x14ac:dyDescent="0.25">
      <c r="A51" s="2">
        <v>18</v>
      </c>
      <c r="B51" s="10" t="s">
        <v>9</v>
      </c>
      <c r="C51" s="11" t="s">
        <v>154</v>
      </c>
      <c r="D51" s="12">
        <v>96.75</v>
      </c>
      <c r="E51" s="13">
        <v>62.69</v>
      </c>
      <c r="F51" s="13">
        <f t="shared" si="0"/>
        <v>6065.2574999999997</v>
      </c>
      <c r="G51" s="13">
        <v>61.59</v>
      </c>
      <c r="H51" s="13">
        <v>61.59</v>
      </c>
      <c r="I51" s="13">
        <f t="shared" si="5"/>
        <v>5958.8325000000004</v>
      </c>
      <c r="J51" s="13">
        <f t="shared" si="6"/>
        <v>5958.8325000000004</v>
      </c>
      <c r="K51" s="14">
        <f t="shared" si="12"/>
        <v>98.245334184080406</v>
      </c>
      <c r="L51" s="12"/>
      <c r="M51" s="13"/>
      <c r="N51" s="13">
        <f t="shared" si="7"/>
        <v>0</v>
      </c>
      <c r="O51" s="15"/>
      <c r="P51" s="15"/>
      <c r="Q51" s="15">
        <f t="shared" si="8"/>
        <v>0</v>
      </c>
      <c r="R51" s="15">
        <f t="shared" si="9"/>
        <v>0</v>
      </c>
      <c r="S51" s="16" t="e">
        <f t="shared" si="4"/>
        <v>#DIV/0!</v>
      </c>
    </row>
    <row r="52" spans="1:19" ht="45" x14ac:dyDescent="0.25">
      <c r="A52" s="17">
        <v>19</v>
      </c>
      <c r="B52" s="18" t="s">
        <v>115</v>
      </c>
      <c r="C52" s="11" t="s">
        <v>51</v>
      </c>
      <c r="D52" s="12">
        <f>9.85+18.97</f>
        <v>28.82</v>
      </c>
      <c r="E52" s="13">
        <v>48.91</v>
      </c>
      <c r="F52" s="13">
        <f t="shared" si="0"/>
        <v>1409.5862</v>
      </c>
      <c r="G52" s="13">
        <v>48.91</v>
      </c>
      <c r="H52" s="13">
        <f>G52*1.07</f>
        <v>52.3337</v>
      </c>
      <c r="I52" s="13">
        <f t="shared" si="5"/>
        <v>1409.5862</v>
      </c>
      <c r="J52" s="13">
        <f t="shared" si="6"/>
        <v>1508.2572339999999</v>
      </c>
      <c r="K52" s="14">
        <f t="shared" si="12"/>
        <v>107</v>
      </c>
      <c r="L52" s="12"/>
      <c r="M52" s="13"/>
      <c r="N52" s="13">
        <f t="shared" si="7"/>
        <v>0</v>
      </c>
      <c r="O52" s="15"/>
      <c r="P52" s="15"/>
      <c r="Q52" s="15">
        <f t="shared" si="8"/>
        <v>0</v>
      </c>
      <c r="R52" s="15">
        <f t="shared" si="9"/>
        <v>0</v>
      </c>
      <c r="S52" s="16" t="e">
        <f t="shared" si="4"/>
        <v>#DIV/0!</v>
      </c>
    </row>
    <row r="53" spans="1:19" ht="45" x14ac:dyDescent="0.25">
      <c r="A53" s="22"/>
      <c r="B53" s="22"/>
      <c r="C53" s="11" t="s">
        <v>141</v>
      </c>
      <c r="D53" s="12">
        <v>8.0399999999999991</v>
      </c>
      <c r="E53" s="13">
        <v>50.713519999999995</v>
      </c>
      <c r="F53" s="13">
        <f t="shared" si="0"/>
        <v>407.73670079999994</v>
      </c>
      <c r="G53" s="13">
        <v>50.713519999999995</v>
      </c>
      <c r="H53" s="13">
        <f>G53*1.07</f>
        <v>54.263466399999999</v>
      </c>
      <c r="I53" s="13">
        <f t="shared" si="5"/>
        <v>407.73670079999994</v>
      </c>
      <c r="J53" s="13">
        <f t="shared" si="6"/>
        <v>436.27826985599995</v>
      </c>
      <c r="K53" s="14">
        <f t="shared" si="12"/>
        <v>107</v>
      </c>
      <c r="L53" s="12"/>
      <c r="M53" s="13"/>
      <c r="N53" s="13">
        <f t="shared" si="7"/>
        <v>0</v>
      </c>
      <c r="O53" s="15"/>
      <c r="P53" s="15"/>
      <c r="Q53" s="15">
        <f t="shared" si="8"/>
        <v>0</v>
      </c>
      <c r="R53" s="15">
        <f t="shared" si="9"/>
        <v>0</v>
      </c>
      <c r="S53" s="16" t="e">
        <f t="shared" si="4"/>
        <v>#DIV/0!</v>
      </c>
    </row>
    <row r="54" spans="1:19" ht="105" x14ac:dyDescent="0.25">
      <c r="A54" s="23"/>
      <c r="B54" s="23"/>
      <c r="C54" s="11" t="s">
        <v>52</v>
      </c>
      <c r="D54" s="12">
        <f>9.98+11.57+4.89+7.53+2.14+14.7</f>
        <v>50.81</v>
      </c>
      <c r="E54" s="13">
        <v>58.698639999999997</v>
      </c>
      <c r="F54" s="13">
        <f t="shared" si="0"/>
        <v>2982.4778984</v>
      </c>
      <c r="G54" s="13">
        <v>58.698639999999997</v>
      </c>
      <c r="H54" s="13">
        <f>G54*1.07</f>
        <v>62.807544800000002</v>
      </c>
      <c r="I54" s="13">
        <f t="shared" si="5"/>
        <v>2982.4778984</v>
      </c>
      <c r="J54" s="13">
        <f t="shared" si="6"/>
        <v>3191.2513512880005</v>
      </c>
      <c r="K54" s="14">
        <f t="shared" si="12"/>
        <v>107</v>
      </c>
      <c r="L54" s="12"/>
      <c r="M54" s="13"/>
      <c r="N54" s="13">
        <f t="shared" si="7"/>
        <v>0</v>
      </c>
      <c r="O54" s="15"/>
      <c r="P54" s="15"/>
      <c r="Q54" s="15">
        <f t="shared" si="8"/>
        <v>0</v>
      </c>
      <c r="R54" s="15">
        <f t="shared" si="9"/>
        <v>0</v>
      </c>
      <c r="S54" s="16" t="e">
        <f t="shared" si="4"/>
        <v>#DIV/0!</v>
      </c>
    </row>
    <row r="55" spans="1:19" ht="45" x14ac:dyDescent="0.25">
      <c r="A55" s="2">
        <v>20</v>
      </c>
      <c r="B55" s="10" t="s">
        <v>10</v>
      </c>
      <c r="C55" s="11" t="s">
        <v>164</v>
      </c>
      <c r="D55" s="12">
        <v>108.71</v>
      </c>
      <c r="E55" s="13">
        <v>68.67</v>
      </c>
      <c r="F55" s="13">
        <f t="shared" si="0"/>
        <v>7465.1156999999994</v>
      </c>
      <c r="G55" s="13">
        <v>68.36</v>
      </c>
      <c r="H55" s="13">
        <f>68.36</f>
        <v>68.36</v>
      </c>
      <c r="I55" s="13">
        <f t="shared" si="5"/>
        <v>7431.4155999999994</v>
      </c>
      <c r="J55" s="13">
        <f t="shared" si="6"/>
        <v>7431.4155999999994</v>
      </c>
      <c r="K55" s="14">
        <f t="shared" si="12"/>
        <v>99.548565603611479</v>
      </c>
      <c r="L55" s="12">
        <v>33.119999999999997</v>
      </c>
      <c r="M55" s="13">
        <v>103.55</v>
      </c>
      <c r="N55" s="13">
        <f t="shared" si="7"/>
        <v>3429.5759999999996</v>
      </c>
      <c r="O55" s="15">
        <v>103.55</v>
      </c>
      <c r="P55" s="15">
        <f>108.73</f>
        <v>108.73</v>
      </c>
      <c r="Q55" s="15">
        <f t="shared" si="8"/>
        <v>3429.5759999999996</v>
      </c>
      <c r="R55" s="15">
        <f t="shared" si="9"/>
        <v>3601.1376</v>
      </c>
      <c r="S55" s="16">
        <f>R55/Q55*100</f>
        <v>105.00241429261227</v>
      </c>
    </row>
    <row r="56" spans="1:19" ht="45" x14ac:dyDescent="0.25">
      <c r="A56" s="119">
        <v>21</v>
      </c>
      <c r="B56" s="122" t="s">
        <v>11</v>
      </c>
      <c r="C56" s="11" t="s">
        <v>169</v>
      </c>
      <c r="D56" s="12">
        <v>25.617999999999999</v>
      </c>
      <c r="E56" s="13">
        <v>30.77</v>
      </c>
      <c r="F56" s="13">
        <f t="shared" si="0"/>
        <v>788.26585999999998</v>
      </c>
      <c r="G56" s="13">
        <v>30.77</v>
      </c>
      <c r="H56" s="13">
        <f>35.35</f>
        <v>35.35</v>
      </c>
      <c r="I56" s="13">
        <f t="shared" si="5"/>
        <v>788.26585999999998</v>
      </c>
      <c r="J56" s="13">
        <f t="shared" si="6"/>
        <v>905.59629999999993</v>
      </c>
      <c r="K56" s="14">
        <f t="shared" si="12"/>
        <v>114.88462788430289</v>
      </c>
      <c r="L56" s="12"/>
      <c r="M56" s="13"/>
      <c r="N56" s="13">
        <f t="shared" si="7"/>
        <v>0</v>
      </c>
      <c r="O56" s="15"/>
      <c r="P56" s="15"/>
      <c r="Q56" s="15">
        <f t="shared" si="8"/>
        <v>0</v>
      </c>
      <c r="R56" s="15">
        <f t="shared" si="9"/>
        <v>0</v>
      </c>
      <c r="S56" s="16" t="e">
        <f t="shared" si="4"/>
        <v>#DIV/0!</v>
      </c>
    </row>
    <row r="57" spans="1:19" ht="60" x14ac:dyDescent="0.25">
      <c r="A57" s="120"/>
      <c r="B57" s="123"/>
      <c r="C57" s="11" t="s">
        <v>153</v>
      </c>
      <c r="D57" s="12">
        <v>8.6300000000000008</v>
      </c>
      <c r="E57" s="13">
        <v>60.91</v>
      </c>
      <c r="F57" s="13">
        <f t="shared" si="0"/>
        <v>525.65330000000006</v>
      </c>
      <c r="G57" s="13">
        <v>60.91</v>
      </c>
      <c r="H57" s="13">
        <f>G57*1.101</f>
        <v>67.061909999999997</v>
      </c>
      <c r="I57" s="13">
        <f t="shared" si="5"/>
        <v>525.65330000000006</v>
      </c>
      <c r="J57" s="13">
        <f t="shared" si="6"/>
        <v>578.74428330000001</v>
      </c>
      <c r="K57" s="14">
        <f t="shared" si="12"/>
        <v>110.1</v>
      </c>
      <c r="L57" s="12"/>
      <c r="M57" s="13"/>
      <c r="N57" s="13">
        <f t="shared" si="7"/>
        <v>0</v>
      </c>
      <c r="O57" s="15"/>
      <c r="P57" s="15"/>
      <c r="Q57" s="15">
        <f t="shared" si="8"/>
        <v>0</v>
      </c>
      <c r="R57" s="15">
        <f t="shared" si="9"/>
        <v>0</v>
      </c>
      <c r="S57" s="16" t="e">
        <f t="shared" si="4"/>
        <v>#DIV/0!</v>
      </c>
    </row>
    <row r="58" spans="1:19" ht="108.75" customHeight="1" x14ac:dyDescent="0.25">
      <c r="A58" s="120"/>
      <c r="B58" s="123"/>
      <c r="C58" s="11" t="s">
        <v>165</v>
      </c>
      <c r="D58" s="12">
        <v>112.08799999999999</v>
      </c>
      <c r="E58" s="13">
        <v>60.91</v>
      </c>
      <c r="F58" s="13">
        <f t="shared" si="0"/>
        <v>6827.2800799999995</v>
      </c>
      <c r="G58" s="13">
        <v>60.91</v>
      </c>
      <c r="H58" s="13">
        <f>G58*1.101</f>
        <v>67.061909999999997</v>
      </c>
      <c r="I58" s="13">
        <f t="shared" si="5"/>
        <v>6827.2800799999995</v>
      </c>
      <c r="J58" s="13">
        <f t="shared" si="6"/>
        <v>7516.8353680799992</v>
      </c>
      <c r="K58" s="14">
        <f t="shared" si="12"/>
        <v>110.1</v>
      </c>
      <c r="L58" s="12"/>
      <c r="M58" s="13"/>
      <c r="N58" s="13">
        <f t="shared" si="7"/>
        <v>0</v>
      </c>
      <c r="O58" s="15"/>
      <c r="P58" s="15"/>
      <c r="Q58" s="15">
        <f t="shared" si="8"/>
        <v>0</v>
      </c>
      <c r="R58" s="15">
        <f t="shared" si="9"/>
        <v>0</v>
      </c>
      <c r="S58" s="16" t="e">
        <f t="shared" si="4"/>
        <v>#DIV/0!</v>
      </c>
    </row>
    <row r="59" spans="1:19" ht="30" x14ac:dyDescent="0.25">
      <c r="A59" s="121"/>
      <c r="B59" s="124"/>
      <c r="C59" s="11" t="s">
        <v>285</v>
      </c>
      <c r="D59" s="12">
        <v>15.4</v>
      </c>
      <c r="E59" s="13">
        <v>60.91</v>
      </c>
      <c r="F59" s="13">
        <f t="shared" si="0"/>
        <v>938.01400000000001</v>
      </c>
      <c r="G59" s="13">
        <v>60.91</v>
      </c>
      <c r="H59" s="13">
        <f>67.06</f>
        <v>67.06</v>
      </c>
      <c r="I59" s="13">
        <f t="shared" si="5"/>
        <v>938.01400000000001</v>
      </c>
      <c r="J59" s="13">
        <f t="shared" si="6"/>
        <v>1032.7240000000002</v>
      </c>
      <c r="K59" s="14">
        <f t="shared" si="12"/>
        <v>110.09686422590707</v>
      </c>
      <c r="L59" s="12"/>
      <c r="M59" s="13"/>
      <c r="N59" s="13"/>
      <c r="O59" s="15"/>
      <c r="P59" s="15"/>
      <c r="Q59" s="15">
        <f t="shared" si="8"/>
        <v>0</v>
      </c>
      <c r="R59" s="15">
        <f t="shared" si="9"/>
        <v>0</v>
      </c>
      <c r="S59" s="16"/>
    </row>
    <row r="60" spans="1:19" ht="60" x14ac:dyDescent="0.25">
      <c r="A60" s="2">
        <v>22</v>
      </c>
      <c r="B60" s="10" t="s">
        <v>12</v>
      </c>
      <c r="C60" s="11" t="s">
        <v>153</v>
      </c>
      <c r="D60" s="12">
        <v>14.4</v>
      </c>
      <c r="E60" s="13">
        <v>60.91</v>
      </c>
      <c r="F60" s="13">
        <f t="shared" si="0"/>
        <v>877.10399999999993</v>
      </c>
      <c r="G60" s="13">
        <v>60.91</v>
      </c>
      <c r="H60" s="13">
        <v>65.67</v>
      </c>
      <c r="I60" s="13">
        <f t="shared" si="5"/>
        <v>877.10399999999993</v>
      </c>
      <c r="J60" s="13">
        <f t="shared" si="6"/>
        <v>945.64800000000002</v>
      </c>
      <c r="K60" s="14">
        <f t="shared" si="12"/>
        <v>107.814808734198</v>
      </c>
      <c r="L60" s="12"/>
      <c r="M60" s="13"/>
      <c r="N60" s="13">
        <f t="shared" si="7"/>
        <v>0</v>
      </c>
      <c r="O60" s="15"/>
      <c r="P60" s="15"/>
      <c r="Q60" s="15">
        <f t="shared" si="8"/>
        <v>0</v>
      </c>
      <c r="R60" s="15">
        <f t="shared" si="9"/>
        <v>0</v>
      </c>
      <c r="S60" s="16" t="e">
        <f t="shared" si="4"/>
        <v>#DIV/0!</v>
      </c>
    </row>
    <row r="61" spans="1:19" ht="30" x14ac:dyDescent="0.25">
      <c r="A61" s="2">
        <v>23</v>
      </c>
      <c r="B61" s="10" t="s">
        <v>13</v>
      </c>
      <c r="C61" s="11" t="s">
        <v>34</v>
      </c>
      <c r="D61" s="12"/>
      <c r="E61" s="13"/>
      <c r="F61" s="13">
        <f t="shared" si="0"/>
        <v>0</v>
      </c>
      <c r="G61" s="13"/>
      <c r="H61" s="13"/>
      <c r="I61" s="13">
        <f t="shared" si="5"/>
        <v>0</v>
      </c>
      <c r="J61" s="13">
        <f t="shared" si="6"/>
        <v>0</v>
      </c>
      <c r="K61" s="14" t="e">
        <f t="shared" si="12"/>
        <v>#DIV/0!</v>
      </c>
      <c r="L61" s="12"/>
      <c r="M61" s="13"/>
      <c r="N61" s="13">
        <f t="shared" si="7"/>
        <v>0</v>
      </c>
      <c r="O61" s="15"/>
      <c r="P61" s="15"/>
      <c r="Q61" s="15">
        <f t="shared" si="8"/>
        <v>0</v>
      </c>
      <c r="R61" s="15">
        <f t="shared" si="9"/>
        <v>0</v>
      </c>
      <c r="S61" s="16" t="e">
        <f t="shared" si="4"/>
        <v>#DIV/0!</v>
      </c>
    </row>
    <row r="62" spans="1:19" ht="30" x14ac:dyDescent="0.25">
      <c r="A62" s="2"/>
      <c r="B62" s="10"/>
      <c r="C62" s="11" t="s">
        <v>91</v>
      </c>
      <c r="D62" s="12">
        <v>44</v>
      </c>
      <c r="E62" s="13">
        <v>70.62</v>
      </c>
      <c r="F62" s="13">
        <f t="shared" si="0"/>
        <v>3107.28</v>
      </c>
      <c r="G62" s="13">
        <v>70.62</v>
      </c>
      <c r="H62" s="13">
        <f>74.15</f>
        <v>74.150000000000006</v>
      </c>
      <c r="I62" s="13">
        <f t="shared" si="5"/>
        <v>3107.28</v>
      </c>
      <c r="J62" s="13">
        <f t="shared" si="6"/>
        <v>3262.6000000000004</v>
      </c>
      <c r="K62" s="14">
        <f t="shared" si="12"/>
        <v>104.9985839705466</v>
      </c>
      <c r="L62" s="12"/>
      <c r="M62" s="13"/>
      <c r="N62" s="13">
        <f t="shared" si="7"/>
        <v>0</v>
      </c>
      <c r="O62" s="15"/>
      <c r="P62" s="15"/>
      <c r="Q62" s="15">
        <f t="shared" si="8"/>
        <v>0</v>
      </c>
      <c r="R62" s="15">
        <f t="shared" si="9"/>
        <v>0</v>
      </c>
      <c r="S62" s="16" t="e">
        <f t="shared" si="4"/>
        <v>#DIV/0!</v>
      </c>
    </row>
    <row r="63" spans="1:19" ht="30" x14ac:dyDescent="0.25">
      <c r="A63" s="2"/>
      <c r="B63" s="10"/>
      <c r="C63" s="11" t="s">
        <v>95</v>
      </c>
      <c r="D63" s="12">
        <f>20.868*2</f>
        <v>41.735999999999997</v>
      </c>
      <c r="E63" s="13">
        <v>54.69</v>
      </c>
      <c r="F63" s="13">
        <f t="shared" si="0"/>
        <v>2282.5418399999999</v>
      </c>
      <c r="G63" s="13">
        <v>54.69</v>
      </c>
      <c r="H63" s="13">
        <f>60.3</f>
        <v>60.3</v>
      </c>
      <c r="I63" s="13">
        <f t="shared" si="5"/>
        <v>2282.5418399999999</v>
      </c>
      <c r="J63" s="13">
        <f t="shared" si="6"/>
        <v>2516.6807999999996</v>
      </c>
      <c r="K63" s="14">
        <f t="shared" si="12"/>
        <v>110.25781678551839</v>
      </c>
      <c r="L63" s="12"/>
      <c r="M63" s="13"/>
      <c r="N63" s="13">
        <f t="shared" si="7"/>
        <v>0</v>
      </c>
      <c r="O63" s="15"/>
      <c r="P63" s="15"/>
      <c r="Q63" s="15">
        <f t="shared" si="8"/>
        <v>0</v>
      </c>
      <c r="R63" s="15">
        <f t="shared" si="9"/>
        <v>0</v>
      </c>
      <c r="S63" s="16" t="e">
        <f t="shared" si="4"/>
        <v>#DIV/0!</v>
      </c>
    </row>
    <row r="64" spans="1:19" ht="30" x14ac:dyDescent="0.25">
      <c r="A64" s="2"/>
      <c r="B64" s="10"/>
      <c r="C64" s="11" t="s">
        <v>84</v>
      </c>
      <c r="D64" s="12">
        <v>30.38</v>
      </c>
      <c r="E64" s="13">
        <v>54.69</v>
      </c>
      <c r="F64" s="13">
        <f t="shared" si="0"/>
        <v>1661.4821999999999</v>
      </c>
      <c r="G64" s="13">
        <v>54.69</v>
      </c>
      <c r="H64" s="13">
        <f>60.3</f>
        <v>60.3</v>
      </c>
      <c r="I64" s="13">
        <f t="shared" si="5"/>
        <v>1661.4821999999999</v>
      </c>
      <c r="J64" s="13">
        <f t="shared" si="6"/>
        <v>1831.9139999999998</v>
      </c>
      <c r="K64" s="14">
        <f t="shared" si="12"/>
        <v>110.25781678551839</v>
      </c>
      <c r="L64" s="12">
        <v>3.22</v>
      </c>
      <c r="M64" s="13">
        <v>44.7</v>
      </c>
      <c r="N64" s="13">
        <f t="shared" si="7"/>
        <v>143.93400000000003</v>
      </c>
      <c r="O64" s="15">
        <v>44.7</v>
      </c>
      <c r="P64" s="15">
        <f>O64*1.14</f>
        <v>50.957999999999998</v>
      </c>
      <c r="Q64" s="15">
        <f t="shared" si="8"/>
        <v>143.93400000000003</v>
      </c>
      <c r="R64" s="15">
        <f t="shared" si="9"/>
        <v>164.08476000000002</v>
      </c>
      <c r="S64" s="16">
        <f t="shared" si="4"/>
        <v>113.99999999999999</v>
      </c>
    </row>
    <row r="65" spans="1:19" ht="30" x14ac:dyDescent="0.25">
      <c r="A65" s="2"/>
      <c r="B65" s="10"/>
      <c r="C65" s="11" t="s">
        <v>96</v>
      </c>
      <c r="D65" s="12">
        <v>95.4</v>
      </c>
      <c r="E65" s="13">
        <v>54.69</v>
      </c>
      <c r="F65" s="13">
        <f t="shared" si="0"/>
        <v>5217.4260000000004</v>
      </c>
      <c r="G65" s="13">
        <v>54.69</v>
      </c>
      <c r="H65" s="13">
        <f>60.3</f>
        <v>60.3</v>
      </c>
      <c r="I65" s="13">
        <f t="shared" si="5"/>
        <v>5217.4260000000004</v>
      </c>
      <c r="J65" s="13">
        <f t="shared" si="6"/>
        <v>5752.62</v>
      </c>
      <c r="K65" s="14">
        <f t="shared" si="12"/>
        <v>110.25781678551839</v>
      </c>
      <c r="L65" s="12">
        <v>46</v>
      </c>
      <c r="M65" s="13">
        <v>47.05</v>
      </c>
      <c r="N65" s="13">
        <f t="shared" si="7"/>
        <v>2164.2999999999997</v>
      </c>
      <c r="O65" s="15">
        <v>47.05</v>
      </c>
      <c r="P65" s="15">
        <f>53.63</f>
        <v>53.63</v>
      </c>
      <c r="Q65" s="15">
        <f t="shared" si="8"/>
        <v>2164.2999999999997</v>
      </c>
      <c r="R65" s="15">
        <f t="shared" si="9"/>
        <v>2466.98</v>
      </c>
      <c r="S65" s="16">
        <f t="shared" si="4"/>
        <v>113.98512221041446</v>
      </c>
    </row>
    <row r="66" spans="1:19" ht="30" x14ac:dyDescent="0.25">
      <c r="A66" s="2"/>
      <c r="B66" s="10"/>
      <c r="C66" s="11" t="s">
        <v>85</v>
      </c>
      <c r="D66" s="12">
        <v>62.74</v>
      </c>
      <c r="E66" s="13">
        <v>54.69</v>
      </c>
      <c r="F66" s="13">
        <f t="shared" si="0"/>
        <v>3431.2505999999998</v>
      </c>
      <c r="G66" s="13">
        <v>54.69</v>
      </c>
      <c r="H66" s="13">
        <f>60.3</f>
        <v>60.3</v>
      </c>
      <c r="I66" s="13">
        <f t="shared" si="5"/>
        <v>3431.2505999999998</v>
      </c>
      <c r="J66" s="13">
        <f t="shared" si="6"/>
        <v>3783.2219999999998</v>
      </c>
      <c r="K66" s="14">
        <f t="shared" si="12"/>
        <v>110.25781678551839</v>
      </c>
      <c r="L66" s="12">
        <v>43.36</v>
      </c>
      <c r="M66" s="13">
        <v>15.78</v>
      </c>
      <c r="N66" s="13">
        <f t="shared" si="7"/>
        <v>684.22079999999994</v>
      </c>
      <c r="O66" s="15">
        <v>15.78</v>
      </c>
      <c r="P66" s="15">
        <f t="shared" ref="P66:P82" si="14">O66*1.14</f>
        <v>17.989199999999997</v>
      </c>
      <c r="Q66" s="15">
        <f t="shared" si="8"/>
        <v>684.22079999999994</v>
      </c>
      <c r="R66" s="15">
        <f t="shared" si="9"/>
        <v>780.01171199999987</v>
      </c>
      <c r="S66" s="16">
        <f t="shared" si="4"/>
        <v>113.99999999999999</v>
      </c>
    </row>
    <row r="67" spans="1:19" ht="85.5" customHeight="1" x14ac:dyDescent="0.25">
      <c r="A67" s="2"/>
      <c r="B67" s="10"/>
      <c r="C67" s="11" t="s">
        <v>281</v>
      </c>
      <c r="D67" s="12">
        <v>116.68</v>
      </c>
      <c r="E67" s="13">
        <v>28.46</v>
      </c>
      <c r="F67" s="13">
        <f t="shared" si="0"/>
        <v>3320.7128000000002</v>
      </c>
      <c r="G67" s="13">
        <v>28.46</v>
      </c>
      <c r="H67" s="13">
        <f t="shared" ref="H67:H81" si="15">G67*1.14</f>
        <v>32.444400000000002</v>
      </c>
      <c r="I67" s="13">
        <f t="shared" si="5"/>
        <v>3320.7128000000002</v>
      </c>
      <c r="J67" s="13">
        <f t="shared" si="6"/>
        <v>3785.6125920000004</v>
      </c>
      <c r="K67" s="14">
        <f t="shared" si="12"/>
        <v>114.00000000000001</v>
      </c>
      <c r="L67" s="12">
        <f>84.81*2</f>
        <v>169.62</v>
      </c>
      <c r="M67" s="13">
        <v>44.7</v>
      </c>
      <c r="N67" s="13">
        <f t="shared" si="7"/>
        <v>7582.014000000001</v>
      </c>
      <c r="O67" s="15">
        <v>44.7</v>
      </c>
      <c r="P67" s="15">
        <f t="shared" si="14"/>
        <v>50.957999999999998</v>
      </c>
      <c r="Q67" s="15">
        <f t="shared" si="8"/>
        <v>7582.014000000001</v>
      </c>
      <c r="R67" s="15">
        <f t="shared" si="9"/>
        <v>8643.4959600000002</v>
      </c>
      <c r="S67" s="16">
        <f t="shared" si="4"/>
        <v>113.99999999999999</v>
      </c>
    </row>
    <row r="68" spans="1:19" ht="114.75" customHeight="1" x14ac:dyDescent="0.25">
      <c r="A68" s="2"/>
      <c r="B68" s="10"/>
      <c r="C68" s="11" t="s">
        <v>251</v>
      </c>
      <c r="D68" s="12">
        <f>32.674*2</f>
        <v>65.347999999999999</v>
      </c>
      <c r="E68" s="13">
        <v>70.62</v>
      </c>
      <c r="F68" s="13">
        <f t="shared" si="0"/>
        <v>4614.8757599999999</v>
      </c>
      <c r="G68" s="13">
        <v>70.62</v>
      </c>
      <c r="H68" s="13">
        <f>74.15</f>
        <v>74.150000000000006</v>
      </c>
      <c r="I68" s="13">
        <f t="shared" si="5"/>
        <v>4614.8757599999999</v>
      </c>
      <c r="J68" s="13">
        <f t="shared" si="6"/>
        <v>4845.5542000000005</v>
      </c>
      <c r="K68" s="14">
        <f t="shared" si="12"/>
        <v>104.9985839705466</v>
      </c>
      <c r="L68" s="12"/>
      <c r="M68" s="13"/>
      <c r="N68" s="13">
        <f t="shared" si="7"/>
        <v>0</v>
      </c>
      <c r="O68" s="15"/>
      <c r="P68" s="15">
        <f t="shared" si="14"/>
        <v>0</v>
      </c>
      <c r="Q68" s="15">
        <f t="shared" si="8"/>
        <v>0</v>
      </c>
      <c r="R68" s="15">
        <f t="shared" si="9"/>
        <v>0</v>
      </c>
      <c r="S68" s="16" t="e">
        <f t="shared" si="4"/>
        <v>#DIV/0!</v>
      </c>
    </row>
    <row r="69" spans="1:19" ht="42.75" customHeight="1" x14ac:dyDescent="0.25">
      <c r="A69" s="2"/>
      <c r="B69" s="10"/>
      <c r="C69" s="11" t="s">
        <v>93</v>
      </c>
      <c r="D69" s="12">
        <f>68.879*2</f>
        <v>137.75800000000001</v>
      </c>
      <c r="E69" s="13">
        <v>41.79</v>
      </c>
      <c r="F69" s="13">
        <f t="shared" si="0"/>
        <v>5756.9068200000002</v>
      </c>
      <c r="G69" s="13">
        <v>41.79</v>
      </c>
      <c r="H69" s="13">
        <f t="shared" si="15"/>
        <v>47.640599999999992</v>
      </c>
      <c r="I69" s="13">
        <f t="shared" si="5"/>
        <v>5756.9068200000002</v>
      </c>
      <c r="J69" s="13">
        <f t="shared" si="6"/>
        <v>6562.8737747999994</v>
      </c>
      <c r="K69" s="14">
        <f t="shared" si="12"/>
        <v>113.99999999999999</v>
      </c>
      <c r="L69" s="12">
        <f>14.53*2</f>
        <v>29.06</v>
      </c>
      <c r="M69" s="13">
        <v>25.27</v>
      </c>
      <c r="N69" s="13">
        <f t="shared" si="7"/>
        <v>734.34619999999995</v>
      </c>
      <c r="O69" s="15">
        <v>25.27</v>
      </c>
      <c r="P69" s="15">
        <f t="shared" si="14"/>
        <v>28.807799999999997</v>
      </c>
      <c r="Q69" s="15">
        <f t="shared" si="8"/>
        <v>734.34619999999995</v>
      </c>
      <c r="R69" s="15">
        <f t="shared" si="9"/>
        <v>837.1546679999999</v>
      </c>
      <c r="S69" s="16">
        <f t="shared" ref="S69:S132" si="16">R69/Q69*100</f>
        <v>113.99999999999999</v>
      </c>
    </row>
    <row r="70" spans="1:19" ht="43.5" customHeight="1" x14ac:dyDescent="0.25">
      <c r="A70" s="2"/>
      <c r="B70" s="10"/>
      <c r="C70" s="11" t="s">
        <v>98</v>
      </c>
      <c r="D70" s="12">
        <f>54.58*2</f>
        <v>109.16</v>
      </c>
      <c r="E70" s="13">
        <v>45.28</v>
      </c>
      <c r="F70" s="13">
        <f t="shared" si="0"/>
        <v>4942.7647999999999</v>
      </c>
      <c r="G70" s="13">
        <v>45.28</v>
      </c>
      <c r="H70" s="13">
        <f>49.59</f>
        <v>49.59</v>
      </c>
      <c r="I70" s="13">
        <f t="shared" ref="I70:I133" si="17">G70*D70</f>
        <v>4942.7647999999999</v>
      </c>
      <c r="J70" s="13">
        <f t="shared" ref="J70:J133" si="18">H70*D70</f>
        <v>5413.2444000000005</v>
      </c>
      <c r="K70" s="14">
        <f t="shared" si="12"/>
        <v>109.51855123674912</v>
      </c>
      <c r="L70" s="12"/>
      <c r="M70" s="13"/>
      <c r="N70" s="13">
        <f t="shared" si="7"/>
        <v>0</v>
      </c>
      <c r="O70" s="15"/>
      <c r="P70" s="15">
        <f t="shared" si="14"/>
        <v>0</v>
      </c>
      <c r="Q70" s="15">
        <f t="shared" si="8"/>
        <v>0</v>
      </c>
      <c r="R70" s="15">
        <f t="shared" si="9"/>
        <v>0</v>
      </c>
      <c r="S70" s="16" t="e">
        <f t="shared" si="16"/>
        <v>#DIV/0!</v>
      </c>
    </row>
    <row r="71" spans="1:19" ht="64.5" customHeight="1" x14ac:dyDescent="0.25">
      <c r="A71" s="2"/>
      <c r="B71" s="10"/>
      <c r="C71" s="11" t="s">
        <v>158</v>
      </c>
      <c r="D71" s="12">
        <f>47.896*2</f>
        <v>95.792000000000002</v>
      </c>
      <c r="E71" s="13">
        <v>51.16</v>
      </c>
      <c r="F71" s="13">
        <f t="shared" si="0"/>
        <v>4900.7187199999998</v>
      </c>
      <c r="G71" s="13">
        <v>51.16</v>
      </c>
      <c r="H71" s="13">
        <f>58.33</f>
        <v>58.33</v>
      </c>
      <c r="I71" s="13">
        <f t="shared" si="17"/>
        <v>4900.7187199999998</v>
      </c>
      <c r="J71" s="13">
        <f t="shared" si="18"/>
        <v>5587.5473599999996</v>
      </c>
      <c r="K71" s="14">
        <f t="shared" si="12"/>
        <v>114.01485535574669</v>
      </c>
      <c r="L71" s="12"/>
      <c r="M71" s="13"/>
      <c r="N71" s="13">
        <f t="shared" ref="N71:N135" si="19">L71*M71</f>
        <v>0</v>
      </c>
      <c r="O71" s="15"/>
      <c r="P71" s="15">
        <f t="shared" si="14"/>
        <v>0</v>
      </c>
      <c r="Q71" s="15">
        <f t="shared" ref="Q71:Q134" si="20">O71*L71</f>
        <v>0</v>
      </c>
      <c r="R71" s="15">
        <f t="shared" ref="R71:R134" si="21">P71*L71</f>
        <v>0</v>
      </c>
      <c r="S71" s="16" t="e">
        <f t="shared" si="16"/>
        <v>#DIV/0!</v>
      </c>
    </row>
    <row r="72" spans="1:19" ht="30" x14ac:dyDescent="0.25">
      <c r="A72" s="2"/>
      <c r="B72" s="10"/>
      <c r="C72" s="11" t="s">
        <v>159</v>
      </c>
      <c r="D72" s="12"/>
      <c r="E72" s="13"/>
      <c r="F72" s="13">
        <f t="shared" si="0"/>
        <v>0</v>
      </c>
      <c r="G72" s="13"/>
      <c r="H72" s="13">
        <f t="shared" si="15"/>
        <v>0</v>
      </c>
      <c r="I72" s="13">
        <f t="shared" si="17"/>
        <v>0</v>
      </c>
      <c r="J72" s="13">
        <f t="shared" si="18"/>
        <v>0</v>
      </c>
      <c r="K72" s="14" t="e">
        <f t="shared" si="12"/>
        <v>#DIV/0!</v>
      </c>
      <c r="L72" s="12">
        <v>11</v>
      </c>
      <c r="M72" s="13">
        <v>47.05</v>
      </c>
      <c r="N72" s="13">
        <f t="shared" si="19"/>
        <v>517.54999999999995</v>
      </c>
      <c r="O72" s="15">
        <v>47.05</v>
      </c>
      <c r="P72" s="15">
        <f t="shared" si="14"/>
        <v>53.636999999999993</v>
      </c>
      <c r="Q72" s="15">
        <f t="shared" si="20"/>
        <v>517.54999999999995</v>
      </c>
      <c r="R72" s="15">
        <f t="shared" si="21"/>
        <v>590.00699999999995</v>
      </c>
      <c r="S72" s="16">
        <f t="shared" si="16"/>
        <v>113.99999999999999</v>
      </c>
    </row>
    <row r="73" spans="1:19" ht="30" x14ac:dyDescent="0.25">
      <c r="A73" s="2"/>
      <c r="B73" s="10"/>
      <c r="C73" s="11" t="s">
        <v>160</v>
      </c>
      <c r="D73" s="12"/>
      <c r="E73" s="13"/>
      <c r="F73" s="13">
        <f t="shared" si="0"/>
        <v>0</v>
      </c>
      <c r="G73" s="13"/>
      <c r="H73" s="13">
        <f t="shared" si="15"/>
        <v>0</v>
      </c>
      <c r="I73" s="13">
        <f t="shared" si="17"/>
        <v>0</v>
      </c>
      <c r="J73" s="13">
        <f t="shared" si="18"/>
        <v>0</v>
      </c>
      <c r="K73" s="14" t="e">
        <f t="shared" si="12"/>
        <v>#DIV/0!</v>
      </c>
      <c r="L73" s="12">
        <f>4.96*2</f>
        <v>9.92</v>
      </c>
      <c r="M73" s="13">
        <v>53.16</v>
      </c>
      <c r="N73" s="13">
        <f t="shared" si="19"/>
        <v>527.34719999999993</v>
      </c>
      <c r="O73" s="15">
        <v>53.16</v>
      </c>
      <c r="P73" s="15">
        <f>59.79</f>
        <v>59.79</v>
      </c>
      <c r="Q73" s="15">
        <f t="shared" si="20"/>
        <v>527.34719999999993</v>
      </c>
      <c r="R73" s="15">
        <f t="shared" si="21"/>
        <v>593.11680000000001</v>
      </c>
      <c r="S73" s="16">
        <f t="shared" si="16"/>
        <v>112.47178329571108</v>
      </c>
    </row>
    <row r="74" spans="1:19" ht="30" x14ac:dyDescent="0.25">
      <c r="A74" s="2"/>
      <c r="B74" s="10"/>
      <c r="C74" s="11" t="s">
        <v>90</v>
      </c>
      <c r="D74" s="12">
        <f>38.145*2</f>
        <v>76.290000000000006</v>
      </c>
      <c r="E74" s="13">
        <v>51.16</v>
      </c>
      <c r="F74" s="13">
        <f t="shared" si="0"/>
        <v>3902.9964</v>
      </c>
      <c r="G74" s="13">
        <v>51.16</v>
      </c>
      <c r="H74" s="13">
        <f t="shared" si="15"/>
        <v>58.322399999999988</v>
      </c>
      <c r="I74" s="13">
        <f t="shared" si="17"/>
        <v>3902.9964</v>
      </c>
      <c r="J74" s="13">
        <f t="shared" si="18"/>
        <v>4449.4158959999995</v>
      </c>
      <c r="K74" s="14">
        <f t="shared" si="12"/>
        <v>113.99999999999999</v>
      </c>
      <c r="L74" s="12"/>
      <c r="M74" s="13"/>
      <c r="N74" s="13">
        <f t="shared" si="19"/>
        <v>0</v>
      </c>
      <c r="O74" s="15"/>
      <c r="P74" s="15">
        <f t="shared" si="14"/>
        <v>0</v>
      </c>
      <c r="Q74" s="15">
        <f t="shared" si="20"/>
        <v>0</v>
      </c>
      <c r="R74" s="15">
        <f t="shared" si="21"/>
        <v>0</v>
      </c>
      <c r="S74" s="16" t="e">
        <f t="shared" si="16"/>
        <v>#DIV/0!</v>
      </c>
    </row>
    <row r="75" spans="1:19" ht="30" x14ac:dyDescent="0.25">
      <c r="A75" s="2"/>
      <c r="B75" s="10"/>
      <c r="C75" s="11" t="s">
        <v>86</v>
      </c>
      <c r="D75" s="12">
        <v>13.23</v>
      </c>
      <c r="E75" s="13">
        <v>54.69</v>
      </c>
      <c r="F75" s="13">
        <f t="shared" si="0"/>
        <v>723.54869999999994</v>
      </c>
      <c r="G75" s="13">
        <v>54.69</v>
      </c>
      <c r="H75" s="13">
        <f>60.3</f>
        <v>60.3</v>
      </c>
      <c r="I75" s="13">
        <f t="shared" si="17"/>
        <v>723.54869999999994</v>
      </c>
      <c r="J75" s="13">
        <f t="shared" si="18"/>
        <v>797.76900000000001</v>
      </c>
      <c r="K75" s="14">
        <f t="shared" si="12"/>
        <v>110.25781678551839</v>
      </c>
      <c r="L75" s="12"/>
      <c r="M75" s="13"/>
      <c r="N75" s="13">
        <f t="shared" si="19"/>
        <v>0</v>
      </c>
      <c r="O75" s="15"/>
      <c r="P75" s="15">
        <f t="shared" si="14"/>
        <v>0</v>
      </c>
      <c r="Q75" s="15">
        <f t="shared" si="20"/>
        <v>0</v>
      </c>
      <c r="R75" s="15">
        <f t="shared" si="21"/>
        <v>0</v>
      </c>
      <c r="S75" s="16" t="e">
        <f t="shared" si="16"/>
        <v>#DIV/0!</v>
      </c>
    </row>
    <row r="76" spans="1:19" ht="30" x14ac:dyDescent="0.25">
      <c r="A76" s="2"/>
      <c r="B76" s="10"/>
      <c r="C76" s="11" t="s">
        <v>97</v>
      </c>
      <c r="D76" s="12">
        <f>25.037*2</f>
        <v>50.073999999999998</v>
      </c>
      <c r="E76" s="13">
        <v>28.81</v>
      </c>
      <c r="F76" s="13">
        <f t="shared" si="0"/>
        <v>1442.63194</v>
      </c>
      <c r="G76" s="13">
        <v>28.81</v>
      </c>
      <c r="H76" s="13">
        <f t="shared" si="15"/>
        <v>32.843399999999995</v>
      </c>
      <c r="I76" s="13">
        <f t="shared" si="17"/>
        <v>1442.63194</v>
      </c>
      <c r="J76" s="13">
        <f t="shared" si="18"/>
        <v>1644.6004115999997</v>
      </c>
      <c r="K76" s="14">
        <f t="shared" si="12"/>
        <v>113.99999999999999</v>
      </c>
      <c r="L76" s="12"/>
      <c r="M76" s="13"/>
      <c r="N76" s="13">
        <f t="shared" si="19"/>
        <v>0</v>
      </c>
      <c r="O76" s="15"/>
      <c r="P76" s="15">
        <f t="shared" si="14"/>
        <v>0</v>
      </c>
      <c r="Q76" s="15">
        <f t="shared" si="20"/>
        <v>0</v>
      </c>
      <c r="R76" s="15">
        <f t="shared" si="21"/>
        <v>0</v>
      </c>
      <c r="S76" s="16" t="e">
        <f t="shared" si="16"/>
        <v>#DIV/0!</v>
      </c>
    </row>
    <row r="77" spans="1:19" ht="30" x14ac:dyDescent="0.25">
      <c r="A77" s="2"/>
      <c r="B77" s="10"/>
      <c r="C77" s="11" t="s">
        <v>88</v>
      </c>
      <c r="D77" s="12">
        <f>18.9*2</f>
        <v>37.799999999999997</v>
      </c>
      <c r="E77" s="13">
        <v>54.69</v>
      </c>
      <c r="F77" s="13">
        <f t="shared" si="0"/>
        <v>2067.2819999999997</v>
      </c>
      <c r="G77" s="13">
        <v>54.69</v>
      </c>
      <c r="H77" s="13">
        <f>60.3</f>
        <v>60.3</v>
      </c>
      <c r="I77" s="13">
        <f t="shared" si="17"/>
        <v>2067.2819999999997</v>
      </c>
      <c r="J77" s="13">
        <f t="shared" si="18"/>
        <v>2279.3399999999997</v>
      </c>
      <c r="K77" s="14">
        <f t="shared" si="12"/>
        <v>110.25781678551839</v>
      </c>
      <c r="L77" s="12"/>
      <c r="M77" s="13"/>
      <c r="N77" s="13">
        <f t="shared" si="19"/>
        <v>0</v>
      </c>
      <c r="O77" s="15"/>
      <c r="P77" s="15">
        <f t="shared" si="14"/>
        <v>0</v>
      </c>
      <c r="Q77" s="15">
        <f t="shared" si="20"/>
        <v>0</v>
      </c>
      <c r="R77" s="15">
        <f t="shared" si="21"/>
        <v>0</v>
      </c>
      <c r="S77" s="16" t="e">
        <f t="shared" si="16"/>
        <v>#DIV/0!</v>
      </c>
    </row>
    <row r="78" spans="1:19" ht="30" x14ac:dyDescent="0.25">
      <c r="A78" s="2"/>
      <c r="B78" s="10"/>
      <c r="C78" s="11" t="s">
        <v>87</v>
      </c>
      <c r="D78" s="12">
        <f>34.109*2</f>
        <v>68.218000000000004</v>
      </c>
      <c r="E78" s="13">
        <v>54.69</v>
      </c>
      <c r="F78" s="13">
        <f t="shared" si="0"/>
        <v>3730.8424199999999</v>
      </c>
      <c r="G78" s="13">
        <v>54.69</v>
      </c>
      <c r="H78" s="13">
        <f>60.3</f>
        <v>60.3</v>
      </c>
      <c r="I78" s="13">
        <f t="shared" si="17"/>
        <v>3730.8424199999999</v>
      </c>
      <c r="J78" s="13">
        <f t="shared" si="18"/>
        <v>4113.5454</v>
      </c>
      <c r="K78" s="14">
        <f t="shared" si="12"/>
        <v>110.25781678551839</v>
      </c>
      <c r="L78" s="12">
        <v>13.44</v>
      </c>
      <c r="M78" s="13">
        <v>35.94</v>
      </c>
      <c r="N78" s="13">
        <f t="shared" si="19"/>
        <v>483.03359999999998</v>
      </c>
      <c r="O78" s="15">
        <v>35.94</v>
      </c>
      <c r="P78" s="15">
        <f t="shared" si="14"/>
        <v>40.971599999999995</v>
      </c>
      <c r="Q78" s="15">
        <f t="shared" si="20"/>
        <v>483.03359999999998</v>
      </c>
      <c r="R78" s="15">
        <f t="shared" si="21"/>
        <v>550.65830399999993</v>
      </c>
      <c r="S78" s="16">
        <f t="shared" si="16"/>
        <v>113.99999999999999</v>
      </c>
    </row>
    <row r="79" spans="1:19" ht="43.5" customHeight="1" x14ac:dyDescent="0.25">
      <c r="A79" s="2"/>
      <c r="B79" s="10"/>
      <c r="C79" s="11" t="s">
        <v>89</v>
      </c>
      <c r="D79" s="12">
        <f>25.88*2</f>
        <v>51.76</v>
      </c>
      <c r="E79" s="13">
        <v>40.840000000000003</v>
      </c>
      <c r="F79" s="13">
        <f t="shared" si="0"/>
        <v>2113.8784000000001</v>
      </c>
      <c r="G79" s="13">
        <v>40.840000000000003</v>
      </c>
      <c r="H79" s="13">
        <f t="shared" si="15"/>
        <v>46.557600000000001</v>
      </c>
      <c r="I79" s="13">
        <f t="shared" si="17"/>
        <v>2113.8784000000001</v>
      </c>
      <c r="J79" s="13">
        <f t="shared" si="18"/>
        <v>2409.8213759999999</v>
      </c>
      <c r="K79" s="14">
        <f t="shared" si="12"/>
        <v>113.99999999999999</v>
      </c>
      <c r="L79" s="12"/>
      <c r="M79" s="13"/>
      <c r="N79" s="13">
        <f t="shared" si="19"/>
        <v>0</v>
      </c>
      <c r="O79" s="15"/>
      <c r="P79" s="15">
        <f t="shared" si="14"/>
        <v>0</v>
      </c>
      <c r="Q79" s="15">
        <f t="shared" si="20"/>
        <v>0</v>
      </c>
      <c r="R79" s="15">
        <f t="shared" si="21"/>
        <v>0</v>
      </c>
      <c r="S79" s="16" t="e">
        <f t="shared" si="16"/>
        <v>#DIV/0!</v>
      </c>
    </row>
    <row r="80" spans="1:19" ht="69.75" customHeight="1" x14ac:dyDescent="0.25">
      <c r="A80" s="2"/>
      <c r="B80" s="10"/>
      <c r="C80" s="11" t="s">
        <v>92</v>
      </c>
      <c r="D80" s="12">
        <f>37.022*2</f>
        <v>74.043999999999997</v>
      </c>
      <c r="E80" s="13">
        <v>28.46</v>
      </c>
      <c r="F80" s="13">
        <f t="shared" si="0"/>
        <v>2107.2922399999998</v>
      </c>
      <c r="G80" s="13">
        <v>28.46</v>
      </c>
      <c r="H80" s="13">
        <f t="shared" si="15"/>
        <v>32.444400000000002</v>
      </c>
      <c r="I80" s="13">
        <f t="shared" si="17"/>
        <v>2107.2922399999998</v>
      </c>
      <c r="J80" s="13">
        <f t="shared" si="18"/>
        <v>2402.3131536000001</v>
      </c>
      <c r="K80" s="14">
        <f t="shared" si="12"/>
        <v>114.00000000000001</v>
      </c>
      <c r="L80" s="12">
        <f>13.43*2</f>
        <v>26.86</v>
      </c>
      <c r="M80" s="13">
        <v>35.94</v>
      </c>
      <c r="N80" s="13">
        <f t="shared" si="19"/>
        <v>965.34839999999997</v>
      </c>
      <c r="O80" s="15">
        <v>35.94</v>
      </c>
      <c r="P80" s="15">
        <f t="shared" si="14"/>
        <v>40.971599999999995</v>
      </c>
      <c r="Q80" s="15">
        <f t="shared" si="20"/>
        <v>965.34839999999997</v>
      </c>
      <c r="R80" s="15">
        <f t="shared" si="21"/>
        <v>1100.4971759999999</v>
      </c>
      <c r="S80" s="16">
        <f t="shared" si="16"/>
        <v>113.99999999999999</v>
      </c>
    </row>
    <row r="81" spans="1:19" ht="69" customHeight="1" x14ac:dyDescent="0.25">
      <c r="A81" s="2"/>
      <c r="B81" s="10"/>
      <c r="C81" s="11" t="s">
        <v>252</v>
      </c>
      <c r="D81" s="12">
        <f>74.37*2</f>
        <v>148.74</v>
      </c>
      <c r="E81" s="13">
        <v>34.1</v>
      </c>
      <c r="F81" s="13">
        <f t="shared" si="0"/>
        <v>5072.0340000000006</v>
      </c>
      <c r="G81" s="13">
        <v>34.1</v>
      </c>
      <c r="H81" s="13">
        <f t="shared" si="15"/>
        <v>38.873999999999995</v>
      </c>
      <c r="I81" s="13">
        <f t="shared" si="17"/>
        <v>5072.0340000000006</v>
      </c>
      <c r="J81" s="13">
        <f t="shared" si="18"/>
        <v>5782.1187599999994</v>
      </c>
      <c r="K81" s="14">
        <f t="shared" si="12"/>
        <v>113.99999999999999</v>
      </c>
      <c r="L81" s="12">
        <f>(16.06*2)+(9.69*2)</f>
        <v>51.5</v>
      </c>
      <c r="M81" s="13">
        <v>47.05</v>
      </c>
      <c r="N81" s="13">
        <f t="shared" si="19"/>
        <v>2423.0749999999998</v>
      </c>
      <c r="O81" s="15">
        <v>47.05</v>
      </c>
      <c r="P81" s="15">
        <v>53.63</v>
      </c>
      <c r="Q81" s="15">
        <f t="shared" si="20"/>
        <v>2423.0749999999998</v>
      </c>
      <c r="R81" s="15">
        <f t="shared" si="21"/>
        <v>2761.9450000000002</v>
      </c>
      <c r="S81" s="16">
        <f t="shared" si="16"/>
        <v>113.98512221041446</v>
      </c>
    </row>
    <row r="82" spans="1:19" ht="30" x14ac:dyDescent="0.25">
      <c r="A82" s="2"/>
      <c r="B82" s="10"/>
      <c r="C82" s="11" t="s">
        <v>94</v>
      </c>
      <c r="D82" s="12">
        <f>19.267*2</f>
        <v>38.533999999999999</v>
      </c>
      <c r="E82" s="13">
        <v>54.69</v>
      </c>
      <c r="F82" s="13">
        <f t="shared" si="0"/>
        <v>2107.4244599999997</v>
      </c>
      <c r="G82" s="13">
        <v>54.69</v>
      </c>
      <c r="H82" s="13">
        <f>60.3</f>
        <v>60.3</v>
      </c>
      <c r="I82" s="13">
        <f t="shared" si="17"/>
        <v>2107.4244599999997</v>
      </c>
      <c r="J82" s="13">
        <f t="shared" si="18"/>
        <v>2323.6001999999999</v>
      </c>
      <c r="K82" s="14">
        <f t="shared" si="12"/>
        <v>110.25781678551839</v>
      </c>
      <c r="L82" s="12"/>
      <c r="M82" s="13"/>
      <c r="N82" s="13">
        <f t="shared" si="19"/>
        <v>0</v>
      </c>
      <c r="O82" s="15"/>
      <c r="P82" s="15">
        <f t="shared" si="14"/>
        <v>0</v>
      </c>
      <c r="Q82" s="15">
        <f t="shared" si="20"/>
        <v>0</v>
      </c>
      <c r="R82" s="15">
        <f t="shared" si="21"/>
        <v>0</v>
      </c>
      <c r="S82" s="16" t="e">
        <f t="shared" si="16"/>
        <v>#DIV/0!</v>
      </c>
    </row>
    <row r="83" spans="1:19" ht="45" x14ac:dyDescent="0.25">
      <c r="A83" s="2">
        <v>24</v>
      </c>
      <c r="B83" s="10" t="s">
        <v>108</v>
      </c>
      <c r="C83" s="11" t="s">
        <v>76</v>
      </c>
      <c r="D83" s="12">
        <v>92.38</v>
      </c>
      <c r="E83" s="13">
        <v>34.51</v>
      </c>
      <c r="F83" s="13">
        <f t="shared" si="0"/>
        <v>3188.0337999999997</v>
      </c>
      <c r="G83" s="13">
        <v>34.51</v>
      </c>
      <c r="H83" s="13">
        <v>38.770000000000003</v>
      </c>
      <c r="I83" s="13">
        <f t="shared" si="17"/>
        <v>3188.0337999999997</v>
      </c>
      <c r="J83" s="13">
        <f t="shared" si="18"/>
        <v>3581.5726</v>
      </c>
      <c r="K83" s="14">
        <f t="shared" si="12"/>
        <v>112.34424804404522</v>
      </c>
      <c r="L83" s="12">
        <v>90.93</v>
      </c>
      <c r="M83" s="13">
        <v>34.36</v>
      </c>
      <c r="N83" s="13">
        <f t="shared" si="19"/>
        <v>3124.3548000000001</v>
      </c>
      <c r="O83" s="15">
        <v>34.36</v>
      </c>
      <c r="P83" s="15">
        <v>35.6</v>
      </c>
      <c r="Q83" s="15">
        <f t="shared" si="20"/>
        <v>3124.3548000000001</v>
      </c>
      <c r="R83" s="15">
        <f t="shared" si="21"/>
        <v>3237.1080000000002</v>
      </c>
      <c r="S83" s="16">
        <f t="shared" si="16"/>
        <v>103.60884749708966</v>
      </c>
    </row>
    <row r="84" spans="1:19" ht="45" x14ac:dyDescent="0.25">
      <c r="A84" s="2">
        <v>25</v>
      </c>
      <c r="B84" s="10" t="s">
        <v>115</v>
      </c>
      <c r="C84" s="11" t="s">
        <v>170</v>
      </c>
      <c r="D84" s="12">
        <v>146.32</v>
      </c>
      <c r="E84" s="13">
        <v>66.86</v>
      </c>
      <c r="F84" s="13">
        <f t="shared" si="0"/>
        <v>9782.9552000000003</v>
      </c>
      <c r="G84" s="13">
        <v>66.86</v>
      </c>
      <c r="H84" s="13">
        <f>G84*1.07</f>
        <v>71.540199999999999</v>
      </c>
      <c r="I84" s="13">
        <f t="shared" si="17"/>
        <v>9782.9552000000003</v>
      </c>
      <c r="J84" s="13">
        <f t="shared" si="18"/>
        <v>10467.762063999999</v>
      </c>
      <c r="K84" s="14">
        <f t="shared" si="12"/>
        <v>107</v>
      </c>
      <c r="L84" s="12">
        <v>103.07</v>
      </c>
      <c r="M84" s="13">
        <v>39.479439999999997</v>
      </c>
      <c r="N84" s="13">
        <f t="shared" si="19"/>
        <v>4069.1458807999993</v>
      </c>
      <c r="O84" s="15">
        <v>39.479439999999997</v>
      </c>
      <c r="P84" s="15">
        <v>37.33</v>
      </c>
      <c r="Q84" s="15">
        <f t="shared" si="20"/>
        <v>4069.1458807999993</v>
      </c>
      <c r="R84" s="15">
        <f t="shared" si="21"/>
        <v>3847.6030999999994</v>
      </c>
      <c r="S84" s="16">
        <f t="shared" si="16"/>
        <v>94.555545874004281</v>
      </c>
    </row>
    <row r="85" spans="1:19" ht="45" hidden="1" x14ac:dyDescent="0.25">
      <c r="A85" s="2">
        <v>26</v>
      </c>
      <c r="B85" s="97" t="s">
        <v>14</v>
      </c>
      <c r="C85" s="24" t="s">
        <v>264</v>
      </c>
      <c r="D85" s="25">
        <v>31.46</v>
      </c>
      <c r="E85" s="26">
        <v>60.89</v>
      </c>
      <c r="F85" s="13">
        <f t="shared" si="0"/>
        <v>1915.5994000000001</v>
      </c>
      <c r="G85" s="26">
        <v>60.89</v>
      </c>
      <c r="H85" s="13">
        <f>G85*1.101</f>
        <v>67.03989</v>
      </c>
      <c r="I85" s="13">
        <f t="shared" si="17"/>
        <v>1915.5994000000001</v>
      </c>
      <c r="J85" s="13">
        <f t="shared" si="18"/>
        <v>2109.0749393999999</v>
      </c>
      <c r="K85" s="13">
        <f t="shared" si="12"/>
        <v>110.1</v>
      </c>
      <c r="L85" s="25">
        <v>17.28</v>
      </c>
      <c r="M85" s="26">
        <v>18.670000000000002</v>
      </c>
      <c r="N85" s="13">
        <f t="shared" si="19"/>
        <v>322.61760000000004</v>
      </c>
      <c r="O85" s="27">
        <v>18.670000000000002</v>
      </c>
      <c r="P85" s="15">
        <f>O85*1.101</f>
        <v>20.555670000000003</v>
      </c>
      <c r="Q85" s="15">
        <f t="shared" si="20"/>
        <v>322.61760000000004</v>
      </c>
      <c r="R85" s="15">
        <f t="shared" si="21"/>
        <v>355.20197760000008</v>
      </c>
      <c r="S85" s="15">
        <f t="shared" si="16"/>
        <v>110.10000000000002</v>
      </c>
    </row>
    <row r="86" spans="1:19" ht="65.25" hidden="1" customHeight="1" x14ac:dyDescent="0.25">
      <c r="A86" s="2"/>
      <c r="B86" s="99"/>
      <c r="C86" s="6" t="s">
        <v>77</v>
      </c>
      <c r="D86" s="25">
        <v>30.98</v>
      </c>
      <c r="E86" s="26">
        <v>60.89</v>
      </c>
      <c r="F86" s="13">
        <f t="shared" si="0"/>
        <v>1886.3722</v>
      </c>
      <c r="G86" s="26">
        <v>60.89</v>
      </c>
      <c r="H86" s="13">
        <f>G86*1.101</f>
        <v>67.03989</v>
      </c>
      <c r="I86" s="13">
        <f t="shared" si="17"/>
        <v>1886.3722</v>
      </c>
      <c r="J86" s="13">
        <f t="shared" si="18"/>
        <v>2076.8957922</v>
      </c>
      <c r="K86" s="13">
        <f t="shared" si="12"/>
        <v>110.1</v>
      </c>
      <c r="L86" s="25"/>
      <c r="M86" s="26"/>
      <c r="N86" s="13">
        <f t="shared" si="19"/>
        <v>0</v>
      </c>
      <c r="O86" s="27"/>
      <c r="P86" s="15"/>
      <c r="Q86" s="15">
        <f t="shared" si="20"/>
        <v>0</v>
      </c>
      <c r="R86" s="15">
        <f t="shared" si="21"/>
        <v>0</v>
      </c>
      <c r="S86" s="15" t="e">
        <f>R86/Q86*100</f>
        <v>#DIV/0!</v>
      </c>
    </row>
    <row r="87" spans="1:19" ht="45" customHeight="1" x14ac:dyDescent="0.25">
      <c r="A87" s="2">
        <v>27</v>
      </c>
      <c r="B87" s="97" t="s">
        <v>15</v>
      </c>
      <c r="C87" s="11" t="s">
        <v>155</v>
      </c>
      <c r="D87" s="12">
        <v>52.4</v>
      </c>
      <c r="E87" s="13">
        <v>54.41</v>
      </c>
      <c r="F87" s="13">
        <f t="shared" si="0"/>
        <v>2851.0839999999998</v>
      </c>
      <c r="G87" s="13">
        <v>54.41</v>
      </c>
      <c r="H87" s="13">
        <f>G87*1.101</f>
        <v>59.905409999999996</v>
      </c>
      <c r="I87" s="13">
        <f t="shared" si="17"/>
        <v>2851.0839999999998</v>
      </c>
      <c r="J87" s="13">
        <f t="shared" si="18"/>
        <v>3139.0434839999998</v>
      </c>
      <c r="K87" s="14">
        <f t="shared" si="12"/>
        <v>110.1</v>
      </c>
      <c r="L87" s="12">
        <v>7.5</v>
      </c>
      <c r="M87" s="13">
        <v>64.739999999999995</v>
      </c>
      <c r="N87" s="13">
        <f t="shared" si="19"/>
        <v>485.54999999999995</v>
      </c>
      <c r="O87" s="15">
        <v>59.24</v>
      </c>
      <c r="P87" s="15">
        <f>O87</f>
        <v>59.24</v>
      </c>
      <c r="Q87" s="15">
        <f t="shared" si="20"/>
        <v>444.3</v>
      </c>
      <c r="R87" s="15">
        <f t="shared" si="21"/>
        <v>444.3</v>
      </c>
      <c r="S87" s="16">
        <f t="shared" si="16"/>
        <v>100</v>
      </c>
    </row>
    <row r="88" spans="1:19" ht="30" x14ac:dyDescent="0.25">
      <c r="A88" s="2"/>
      <c r="B88" s="99"/>
      <c r="C88" s="11" t="s">
        <v>284</v>
      </c>
      <c r="D88" s="12">
        <v>62.44</v>
      </c>
      <c r="E88" s="13">
        <v>60.25</v>
      </c>
      <c r="F88" s="13">
        <f t="shared" si="0"/>
        <v>3762.0099999999998</v>
      </c>
      <c r="G88" s="13">
        <v>60.25</v>
      </c>
      <c r="H88" s="13">
        <f>66.23</f>
        <v>66.23</v>
      </c>
      <c r="I88" s="13">
        <f t="shared" si="17"/>
        <v>3762.0099999999998</v>
      </c>
      <c r="J88" s="13">
        <f t="shared" si="18"/>
        <v>4135.4012000000002</v>
      </c>
      <c r="K88" s="14">
        <f t="shared" si="12"/>
        <v>109.9253112033195</v>
      </c>
      <c r="L88" s="12"/>
      <c r="M88" s="13"/>
      <c r="N88" s="13"/>
      <c r="O88" s="15"/>
      <c r="P88" s="15"/>
      <c r="Q88" s="15">
        <f t="shared" si="20"/>
        <v>0</v>
      </c>
      <c r="R88" s="15">
        <f t="shared" si="21"/>
        <v>0</v>
      </c>
      <c r="S88" s="16"/>
    </row>
    <row r="89" spans="1:19" ht="45" x14ac:dyDescent="0.25">
      <c r="A89" s="2">
        <v>28</v>
      </c>
      <c r="B89" s="10" t="s">
        <v>205</v>
      </c>
      <c r="C89" s="11" t="s">
        <v>78</v>
      </c>
      <c r="D89" s="12">
        <v>61.201999999999998</v>
      </c>
      <c r="E89" s="13">
        <v>53.6</v>
      </c>
      <c r="F89" s="13">
        <f t="shared" si="0"/>
        <v>3280.4272000000001</v>
      </c>
      <c r="G89" s="13">
        <v>53.6</v>
      </c>
      <c r="H89" s="13">
        <v>60.25</v>
      </c>
      <c r="I89" s="13">
        <f t="shared" si="17"/>
        <v>3280.4272000000001</v>
      </c>
      <c r="J89" s="13">
        <f t="shared" si="18"/>
        <v>3687.4204999999997</v>
      </c>
      <c r="K89" s="14">
        <f t="shared" si="12"/>
        <v>112.40671641791045</v>
      </c>
      <c r="L89" s="12">
        <v>4.2699999999999996</v>
      </c>
      <c r="M89" s="13">
        <v>66.209999999999994</v>
      </c>
      <c r="N89" s="13">
        <f t="shared" si="19"/>
        <v>282.71669999999995</v>
      </c>
      <c r="O89" s="15">
        <v>66.209999999999994</v>
      </c>
      <c r="P89" s="15">
        <v>74.42</v>
      </c>
      <c r="Q89" s="15">
        <f t="shared" si="20"/>
        <v>282.71669999999995</v>
      </c>
      <c r="R89" s="15">
        <f t="shared" si="21"/>
        <v>317.77339999999998</v>
      </c>
      <c r="S89" s="16">
        <f t="shared" si="16"/>
        <v>112.39993958616526</v>
      </c>
    </row>
    <row r="90" spans="1:19" ht="60" x14ac:dyDescent="0.25">
      <c r="A90" s="2"/>
      <c r="B90" s="10"/>
      <c r="C90" s="11" t="s">
        <v>184</v>
      </c>
      <c r="D90" s="12"/>
      <c r="E90" s="13"/>
      <c r="F90" s="13">
        <f t="shared" si="0"/>
        <v>0</v>
      </c>
      <c r="G90" s="13"/>
      <c r="H90" s="13"/>
      <c r="I90" s="13">
        <f t="shared" si="17"/>
        <v>0</v>
      </c>
      <c r="J90" s="13">
        <f t="shared" si="18"/>
        <v>0</v>
      </c>
      <c r="K90" s="14" t="e">
        <f t="shared" si="12"/>
        <v>#DIV/0!</v>
      </c>
      <c r="L90" s="12"/>
      <c r="M90" s="13"/>
      <c r="N90" s="13">
        <f t="shared" si="19"/>
        <v>0</v>
      </c>
      <c r="O90" s="15"/>
      <c r="P90" s="15"/>
      <c r="Q90" s="15">
        <f t="shared" si="20"/>
        <v>0</v>
      </c>
      <c r="R90" s="15">
        <f t="shared" si="21"/>
        <v>0</v>
      </c>
      <c r="S90" s="16" t="e">
        <f t="shared" si="16"/>
        <v>#DIV/0!</v>
      </c>
    </row>
    <row r="91" spans="1:19" ht="75" x14ac:dyDescent="0.25">
      <c r="A91" s="2"/>
      <c r="B91" s="10"/>
      <c r="C91" s="11" t="s">
        <v>185</v>
      </c>
      <c r="D91" s="12">
        <f>23.506+10.496</f>
        <v>34.002000000000002</v>
      </c>
      <c r="E91" s="13">
        <v>61.88</v>
      </c>
      <c r="F91" s="13">
        <f t="shared" ref="F91:F154" si="22">D91*E91</f>
        <v>2104.04376</v>
      </c>
      <c r="G91" s="13">
        <v>61.88</v>
      </c>
      <c r="H91" s="13">
        <v>69.55</v>
      </c>
      <c r="I91" s="13">
        <f t="shared" si="17"/>
        <v>2104.04376</v>
      </c>
      <c r="J91" s="13">
        <f t="shared" si="18"/>
        <v>2364.8391000000001</v>
      </c>
      <c r="K91" s="14">
        <f t="shared" si="12"/>
        <v>112.39495798319328</v>
      </c>
      <c r="L91" s="12"/>
      <c r="M91" s="13"/>
      <c r="N91" s="13">
        <f t="shared" si="19"/>
        <v>0</v>
      </c>
      <c r="O91" s="15"/>
      <c r="P91" s="15"/>
      <c r="Q91" s="15">
        <f t="shared" si="20"/>
        <v>0</v>
      </c>
      <c r="R91" s="15">
        <f t="shared" si="21"/>
        <v>0</v>
      </c>
      <c r="S91" s="16" t="e">
        <f t="shared" si="16"/>
        <v>#DIV/0!</v>
      </c>
    </row>
    <row r="92" spans="1:19" ht="60" x14ac:dyDescent="0.25">
      <c r="A92" s="2"/>
      <c r="B92" s="10"/>
      <c r="C92" s="11" t="s">
        <v>186</v>
      </c>
      <c r="D92" s="12">
        <v>11.795999999999999</v>
      </c>
      <c r="E92" s="13">
        <v>56.76</v>
      </c>
      <c r="F92" s="13">
        <f t="shared" si="22"/>
        <v>669.54095999999993</v>
      </c>
      <c r="G92" s="13">
        <v>56.76</v>
      </c>
      <c r="H92" s="13">
        <v>63.8</v>
      </c>
      <c r="I92" s="13">
        <f t="shared" si="17"/>
        <v>669.54095999999993</v>
      </c>
      <c r="J92" s="13">
        <f t="shared" si="18"/>
        <v>752.58479999999997</v>
      </c>
      <c r="K92" s="14">
        <f t="shared" si="12"/>
        <v>112.40310077519379</v>
      </c>
      <c r="L92" s="12"/>
      <c r="M92" s="13"/>
      <c r="N92" s="13">
        <f t="shared" si="19"/>
        <v>0</v>
      </c>
      <c r="O92" s="15"/>
      <c r="P92" s="15"/>
      <c r="Q92" s="15">
        <f t="shared" si="20"/>
        <v>0</v>
      </c>
      <c r="R92" s="15">
        <f t="shared" si="21"/>
        <v>0</v>
      </c>
      <c r="S92" s="16" t="e">
        <f t="shared" si="16"/>
        <v>#DIV/0!</v>
      </c>
    </row>
    <row r="93" spans="1:19" ht="45" x14ac:dyDescent="0.25">
      <c r="A93" s="2">
        <v>29</v>
      </c>
      <c r="B93" s="10" t="s">
        <v>115</v>
      </c>
      <c r="C93" s="11" t="s">
        <v>149</v>
      </c>
      <c r="D93" s="12">
        <v>62.76</v>
      </c>
      <c r="E93" s="13">
        <v>53.89</v>
      </c>
      <c r="F93" s="13">
        <f t="shared" si="22"/>
        <v>3382.1363999999999</v>
      </c>
      <c r="G93" s="13">
        <v>53.89</v>
      </c>
      <c r="H93" s="13">
        <f>G93*1.07</f>
        <v>57.662300000000002</v>
      </c>
      <c r="I93" s="13">
        <f t="shared" si="17"/>
        <v>3382.1363999999999</v>
      </c>
      <c r="J93" s="13">
        <f t="shared" si="18"/>
        <v>3618.8859480000001</v>
      </c>
      <c r="K93" s="14">
        <f t="shared" si="12"/>
        <v>107</v>
      </c>
      <c r="L93" s="12">
        <v>36.18</v>
      </c>
      <c r="M93" s="13">
        <v>60.19</v>
      </c>
      <c r="N93" s="13">
        <f t="shared" si="19"/>
        <v>2177.6741999999999</v>
      </c>
      <c r="O93" s="15">
        <v>60.19</v>
      </c>
      <c r="P93" s="15">
        <f>O93*1.07</f>
        <v>64.403300000000002</v>
      </c>
      <c r="Q93" s="15">
        <f t="shared" si="20"/>
        <v>2177.6741999999999</v>
      </c>
      <c r="R93" s="15">
        <f t="shared" si="21"/>
        <v>2330.111394</v>
      </c>
      <c r="S93" s="16">
        <f t="shared" si="16"/>
        <v>107</v>
      </c>
    </row>
    <row r="94" spans="1:19" ht="60" x14ac:dyDescent="0.25">
      <c r="A94" s="2">
        <v>30</v>
      </c>
      <c r="B94" s="10" t="s">
        <v>16</v>
      </c>
      <c r="C94" s="11" t="s">
        <v>146</v>
      </c>
      <c r="D94" s="12">
        <v>68.849999999999994</v>
      </c>
      <c r="E94" s="13">
        <v>62.09</v>
      </c>
      <c r="F94" s="13">
        <f t="shared" si="22"/>
        <v>4274.8964999999998</v>
      </c>
      <c r="G94" s="13">
        <v>62.09</v>
      </c>
      <c r="H94" s="13">
        <v>66.760000000000005</v>
      </c>
      <c r="I94" s="13">
        <f t="shared" si="17"/>
        <v>4274.8964999999998</v>
      </c>
      <c r="J94" s="13">
        <f t="shared" si="18"/>
        <v>4596.4260000000004</v>
      </c>
      <c r="K94" s="14">
        <f t="shared" si="12"/>
        <v>107.52133999033661</v>
      </c>
      <c r="L94" s="12">
        <v>5.15</v>
      </c>
      <c r="M94" s="13">
        <v>88.51</v>
      </c>
      <c r="N94" s="13">
        <f t="shared" si="19"/>
        <v>455.82650000000007</v>
      </c>
      <c r="O94" s="15">
        <v>88.51</v>
      </c>
      <c r="P94" s="15">
        <v>95.93</v>
      </c>
      <c r="Q94" s="15">
        <f t="shared" si="20"/>
        <v>455.82650000000007</v>
      </c>
      <c r="R94" s="15">
        <f t="shared" si="21"/>
        <v>494.03950000000009</v>
      </c>
      <c r="S94" s="16">
        <f t="shared" si="16"/>
        <v>108.38323353293413</v>
      </c>
    </row>
    <row r="95" spans="1:19" ht="105" x14ac:dyDescent="0.25">
      <c r="A95" s="17">
        <v>31</v>
      </c>
      <c r="B95" s="18" t="s">
        <v>115</v>
      </c>
      <c r="C95" s="11" t="s">
        <v>127</v>
      </c>
      <c r="D95" s="12">
        <v>9.4700000000000006</v>
      </c>
      <c r="E95" s="13">
        <v>58.75</v>
      </c>
      <c r="F95" s="13">
        <f t="shared" si="22"/>
        <v>556.36250000000007</v>
      </c>
      <c r="G95" s="13">
        <v>58.75</v>
      </c>
      <c r="H95" s="13">
        <f>G95*1.07</f>
        <v>62.862500000000004</v>
      </c>
      <c r="I95" s="13">
        <f t="shared" si="17"/>
        <v>556.36250000000007</v>
      </c>
      <c r="J95" s="13">
        <f t="shared" si="18"/>
        <v>595.30787500000008</v>
      </c>
      <c r="K95" s="14">
        <f t="shared" si="12"/>
        <v>107</v>
      </c>
      <c r="L95" s="12"/>
      <c r="M95" s="13"/>
      <c r="N95" s="13">
        <f t="shared" si="19"/>
        <v>0</v>
      </c>
      <c r="O95" s="15"/>
      <c r="P95" s="15"/>
      <c r="Q95" s="15">
        <f t="shared" si="20"/>
        <v>0</v>
      </c>
      <c r="R95" s="15">
        <f t="shared" si="21"/>
        <v>0</v>
      </c>
      <c r="S95" s="16" t="e">
        <f t="shared" si="16"/>
        <v>#DIV/0!</v>
      </c>
    </row>
    <row r="96" spans="1:19" ht="90" x14ac:dyDescent="0.25">
      <c r="A96" s="22"/>
      <c r="B96" s="22"/>
      <c r="C96" s="11" t="s">
        <v>128</v>
      </c>
      <c r="D96" s="12">
        <v>22.11</v>
      </c>
      <c r="E96" s="13">
        <v>51.216879999999996</v>
      </c>
      <c r="F96" s="13">
        <f t="shared" si="22"/>
        <v>1132.4052167999998</v>
      </c>
      <c r="G96" s="13">
        <v>51.216879999999996</v>
      </c>
      <c r="H96" s="13">
        <f t="shared" ref="H96:H108" si="23">G96*1.07</f>
        <v>54.802061600000002</v>
      </c>
      <c r="I96" s="13">
        <f t="shared" si="17"/>
        <v>1132.4052167999998</v>
      </c>
      <c r="J96" s="13">
        <f t="shared" si="18"/>
        <v>1211.6735819759999</v>
      </c>
      <c r="K96" s="14">
        <f t="shared" si="12"/>
        <v>107</v>
      </c>
      <c r="L96" s="12"/>
      <c r="M96" s="13"/>
      <c r="N96" s="13">
        <f t="shared" si="19"/>
        <v>0</v>
      </c>
      <c r="O96" s="15"/>
      <c r="P96" s="15"/>
      <c r="Q96" s="15">
        <f t="shared" si="20"/>
        <v>0</v>
      </c>
      <c r="R96" s="15">
        <f t="shared" si="21"/>
        <v>0</v>
      </c>
      <c r="S96" s="16" t="e">
        <f t="shared" si="16"/>
        <v>#DIV/0!</v>
      </c>
    </row>
    <row r="97" spans="1:19" ht="60" x14ac:dyDescent="0.25">
      <c r="A97" s="22"/>
      <c r="B97" s="22"/>
      <c r="C97" s="11" t="s">
        <v>129</v>
      </c>
      <c r="D97" s="12">
        <v>11.48</v>
      </c>
      <c r="E97" s="13">
        <v>65.963039999999992</v>
      </c>
      <c r="F97" s="13">
        <f t="shared" si="22"/>
        <v>757.25569919999998</v>
      </c>
      <c r="G97" s="13">
        <v>65.963039999999992</v>
      </c>
      <c r="H97" s="13">
        <f t="shared" si="23"/>
        <v>70.580452799999989</v>
      </c>
      <c r="I97" s="13">
        <f t="shared" si="17"/>
        <v>757.25569919999998</v>
      </c>
      <c r="J97" s="13">
        <f t="shared" si="18"/>
        <v>810.26359814399996</v>
      </c>
      <c r="K97" s="14">
        <f t="shared" si="12"/>
        <v>107</v>
      </c>
      <c r="L97" s="12"/>
      <c r="M97" s="13"/>
      <c r="N97" s="13">
        <f t="shared" si="19"/>
        <v>0</v>
      </c>
      <c r="O97" s="15"/>
      <c r="P97" s="15"/>
      <c r="Q97" s="15">
        <f t="shared" si="20"/>
        <v>0</v>
      </c>
      <c r="R97" s="15">
        <f t="shared" si="21"/>
        <v>0</v>
      </c>
      <c r="S97" s="16" t="e">
        <f t="shared" si="16"/>
        <v>#DIV/0!</v>
      </c>
    </row>
    <row r="98" spans="1:19" ht="60" x14ac:dyDescent="0.25">
      <c r="A98" s="22"/>
      <c r="B98" s="22"/>
      <c r="C98" s="11" t="s">
        <v>130</v>
      </c>
      <c r="D98" s="12">
        <v>9.75</v>
      </c>
      <c r="E98" s="13">
        <v>67.02</v>
      </c>
      <c r="F98" s="13">
        <f t="shared" si="22"/>
        <v>653.44499999999994</v>
      </c>
      <c r="G98" s="13">
        <v>67.02</v>
      </c>
      <c r="H98" s="13">
        <f t="shared" si="23"/>
        <v>71.711399999999998</v>
      </c>
      <c r="I98" s="13">
        <f t="shared" si="17"/>
        <v>653.44499999999994</v>
      </c>
      <c r="J98" s="13">
        <f t="shared" si="18"/>
        <v>699.18615</v>
      </c>
      <c r="K98" s="14">
        <f t="shared" si="12"/>
        <v>107</v>
      </c>
      <c r="L98" s="12"/>
      <c r="M98" s="13"/>
      <c r="N98" s="13">
        <f t="shared" si="19"/>
        <v>0</v>
      </c>
      <c r="O98" s="15"/>
      <c r="P98" s="15"/>
      <c r="Q98" s="15">
        <f t="shared" si="20"/>
        <v>0</v>
      </c>
      <c r="R98" s="15">
        <f t="shared" si="21"/>
        <v>0</v>
      </c>
      <c r="S98" s="16" t="e">
        <f t="shared" si="16"/>
        <v>#DIV/0!</v>
      </c>
    </row>
    <row r="99" spans="1:19" ht="60" x14ac:dyDescent="0.25">
      <c r="A99" s="22"/>
      <c r="B99" s="22"/>
      <c r="C99" s="11" t="s">
        <v>131</v>
      </c>
      <c r="D99" s="12">
        <v>7.46</v>
      </c>
      <c r="E99" s="13">
        <v>67.02</v>
      </c>
      <c r="F99" s="13">
        <f t="shared" si="22"/>
        <v>499.96919999999994</v>
      </c>
      <c r="G99" s="13">
        <v>67.02</v>
      </c>
      <c r="H99" s="13">
        <f t="shared" si="23"/>
        <v>71.711399999999998</v>
      </c>
      <c r="I99" s="13">
        <f t="shared" si="17"/>
        <v>499.96919999999994</v>
      </c>
      <c r="J99" s="13">
        <f t="shared" si="18"/>
        <v>534.96704399999999</v>
      </c>
      <c r="K99" s="14">
        <f t="shared" si="12"/>
        <v>107</v>
      </c>
      <c r="L99" s="12"/>
      <c r="M99" s="13"/>
      <c r="N99" s="13">
        <f t="shared" si="19"/>
        <v>0</v>
      </c>
      <c r="O99" s="15"/>
      <c r="P99" s="15"/>
      <c r="Q99" s="15">
        <f t="shared" si="20"/>
        <v>0</v>
      </c>
      <c r="R99" s="15">
        <f t="shared" si="21"/>
        <v>0</v>
      </c>
      <c r="S99" s="16" t="e">
        <f t="shared" si="16"/>
        <v>#DIV/0!</v>
      </c>
    </row>
    <row r="100" spans="1:19" ht="75" x14ac:dyDescent="0.25">
      <c r="A100" s="22"/>
      <c r="B100" s="22"/>
      <c r="C100" s="11" t="s">
        <v>132</v>
      </c>
      <c r="D100" s="12">
        <v>6.77</v>
      </c>
      <c r="E100" s="13">
        <v>61.12</v>
      </c>
      <c r="F100" s="13">
        <f t="shared" si="22"/>
        <v>413.78239999999994</v>
      </c>
      <c r="G100" s="13">
        <v>61.12</v>
      </c>
      <c r="H100" s="13">
        <f t="shared" si="23"/>
        <v>65.398399999999995</v>
      </c>
      <c r="I100" s="13">
        <f t="shared" si="17"/>
        <v>413.78239999999994</v>
      </c>
      <c r="J100" s="13">
        <f t="shared" si="18"/>
        <v>442.74716799999993</v>
      </c>
      <c r="K100" s="14">
        <f t="shared" ref="K100:K163" si="24">H100/E100*100</f>
        <v>107</v>
      </c>
      <c r="L100" s="12"/>
      <c r="M100" s="13"/>
      <c r="N100" s="13">
        <f t="shared" si="19"/>
        <v>0</v>
      </c>
      <c r="O100" s="15"/>
      <c r="P100" s="15"/>
      <c r="Q100" s="15">
        <f t="shared" si="20"/>
        <v>0</v>
      </c>
      <c r="R100" s="15">
        <f t="shared" si="21"/>
        <v>0</v>
      </c>
      <c r="S100" s="16" t="e">
        <f t="shared" si="16"/>
        <v>#DIV/0!</v>
      </c>
    </row>
    <row r="101" spans="1:19" ht="75" x14ac:dyDescent="0.25">
      <c r="A101" s="22"/>
      <c r="B101" s="22"/>
      <c r="C101" s="11" t="s">
        <v>133</v>
      </c>
      <c r="D101" s="12">
        <v>13.12</v>
      </c>
      <c r="E101" s="13">
        <v>65.53</v>
      </c>
      <c r="F101" s="13">
        <f t="shared" si="22"/>
        <v>859.75360000000001</v>
      </c>
      <c r="G101" s="13">
        <v>65.53</v>
      </c>
      <c r="H101" s="13">
        <f t="shared" si="23"/>
        <v>70.117100000000008</v>
      </c>
      <c r="I101" s="13">
        <f t="shared" si="17"/>
        <v>859.75360000000001</v>
      </c>
      <c r="J101" s="13">
        <f t="shared" si="18"/>
        <v>919.93635200000006</v>
      </c>
      <c r="K101" s="14">
        <f t="shared" si="24"/>
        <v>107</v>
      </c>
      <c r="L101" s="12"/>
      <c r="M101" s="13"/>
      <c r="N101" s="13">
        <f t="shared" si="19"/>
        <v>0</v>
      </c>
      <c r="O101" s="15"/>
      <c r="P101" s="15"/>
      <c r="Q101" s="15">
        <f t="shared" si="20"/>
        <v>0</v>
      </c>
      <c r="R101" s="15">
        <f t="shared" si="21"/>
        <v>0</v>
      </c>
      <c r="S101" s="16" t="e">
        <f t="shared" si="16"/>
        <v>#DIV/0!</v>
      </c>
    </row>
    <row r="102" spans="1:19" ht="75" x14ac:dyDescent="0.25">
      <c r="A102" s="22"/>
      <c r="B102" s="22"/>
      <c r="C102" s="11" t="s">
        <v>134</v>
      </c>
      <c r="D102" s="12">
        <v>5.96</v>
      </c>
      <c r="E102" s="13">
        <v>58.824479999999994</v>
      </c>
      <c r="F102" s="13">
        <f t="shared" si="22"/>
        <v>350.59390079999997</v>
      </c>
      <c r="G102" s="13">
        <v>58.824479999999994</v>
      </c>
      <c r="H102" s="13">
        <f t="shared" si="23"/>
        <v>62.942193599999996</v>
      </c>
      <c r="I102" s="13">
        <f t="shared" si="17"/>
        <v>350.59390079999997</v>
      </c>
      <c r="J102" s="13">
        <f t="shared" si="18"/>
        <v>375.13547385599998</v>
      </c>
      <c r="K102" s="14">
        <f t="shared" si="24"/>
        <v>107</v>
      </c>
      <c r="L102" s="12"/>
      <c r="M102" s="13"/>
      <c r="N102" s="13">
        <f t="shared" si="19"/>
        <v>0</v>
      </c>
      <c r="O102" s="15"/>
      <c r="P102" s="15"/>
      <c r="Q102" s="15">
        <f t="shared" si="20"/>
        <v>0</v>
      </c>
      <c r="R102" s="15">
        <f t="shared" si="21"/>
        <v>0</v>
      </c>
      <c r="S102" s="16" t="e">
        <f t="shared" si="16"/>
        <v>#DIV/0!</v>
      </c>
    </row>
    <row r="103" spans="1:19" ht="45" x14ac:dyDescent="0.25">
      <c r="A103" s="22"/>
      <c r="B103" s="22"/>
      <c r="C103" s="11" t="s">
        <v>135</v>
      </c>
      <c r="D103" s="12">
        <v>9.7799999999999994</v>
      </c>
      <c r="E103" s="13">
        <v>67.244320000000002</v>
      </c>
      <c r="F103" s="13">
        <f t="shared" si="22"/>
        <v>657.64944960000003</v>
      </c>
      <c r="G103" s="13">
        <v>67.244320000000002</v>
      </c>
      <c r="H103" s="13">
        <f t="shared" si="23"/>
        <v>71.951422400000013</v>
      </c>
      <c r="I103" s="13">
        <f t="shared" si="17"/>
        <v>657.64944960000003</v>
      </c>
      <c r="J103" s="13">
        <f t="shared" si="18"/>
        <v>703.68491107200009</v>
      </c>
      <c r="K103" s="14">
        <f t="shared" si="24"/>
        <v>107</v>
      </c>
      <c r="L103" s="12"/>
      <c r="M103" s="13"/>
      <c r="N103" s="13">
        <f t="shared" si="19"/>
        <v>0</v>
      </c>
      <c r="O103" s="15"/>
      <c r="P103" s="15"/>
      <c r="Q103" s="15">
        <f t="shared" si="20"/>
        <v>0</v>
      </c>
      <c r="R103" s="15">
        <f t="shared" si="21"/>
        <v>0</v>
      </c>
      <c r="S103" s="16" t="e">
        <f t="shared" si="16"/>
        <v>#DIV/0!</v>
      </c>
    </row>
    <row r="104" spans="1:19" ht="60" x14ac:dyDescent="0.25">
      <c r="A104" s="22"/>
      <c r="B104" s="22"/>
      <c r="C104" s="11" t="s">
        <v>136</v>
      </c>
      <c r="D104" s="12">
        <v>7.36</v>
      </c>
      <c r="E104" s="13">
        <v>65.34</v>
      </c>
      <c r="F104" s="13">
        <f t="shared" si="22"/>
        <v>480.90240000000006</v>
      </c>
      <c r="G104" s="13">
        <v>65.34</v>
      </c>
      <c r="H104" s="13">
        <f t="shared" si="23"/>
        <v>69.913800000000009</v>
      </c>
      <c r="I104" s="13">
        <f t="shared" si="17"/>
        <v>480.90240000000006</v>
      </c>
      <c r="J104" s="13">
        <f t="shared" si="18"/>
        <v>514.5655680000001</v>
      </c>
      <c r="K104" s="14">
        <f t="shared" si="24"/>
        <v>107</v>
      </c>
      <c r="L104" s="12"/>
      <c r="M104" s="13"/>
      <c r="N104" s="13">
        <f t="shared" si="19"/>
        <v>0</v>
      </c>
      <c r="O104" s="15"/>
      <c r="P104" s="15"/>
      <c r="Q104" s="15">
        <f t="shared" si="20"/>
        <v>0</v>
      </c>
      <c r="R104" s="15">
        <f t="shared" si="21"/>
        <v>0</v>
      </c>
      <c r="S104" s="16" t="e">
        <f t="shared" si="16"/>
        <v>#DIV/0!</v>
      </c>
    </row>
    <row r="105" spans="1:19" ht="150" x14ac:dyDescent="0.25">
      <c r="A105" s="22"/>
      <c r="B105" s="22"/>
      <c r="C105" s="11" t="s">
        <v>137</v>
      </c>
      <c r="D105" s="12">
        <v>10</v>
      </c>
      <c r="E105" s="13">
        <v>57.222879999999996</v>
      </c>
      <c r="F105" s="13">
        <f t="shared" si="22"/>
        <v>572.22879999999998</v>
      </c>
      <c r="G105" s="13">
        <v>57.222879999999996</v>
      </c>
      <c r="H105" s="13">
        <f t="shared" si="23"/>
        <v>61.228481600000002</v>
      </c>
      <c r="I105" s="13">
        <f t="shared" si="17"/>
        <v>572.22879999999998</v>
      </c>
      <c r="J105" s="13">
        <f t="shared" si="18"/>
        <v>612.28481599999998</v>
      </c>
      <c r="K105" s="14">
        <f t="shared" si="24"/>
        <v>107</v>
      </c>
      <c r="L105" s="12"/>
      <c r="M105" s="13"/>
      <c r="N105" s="13">
        <f t="shared" si="19"/>
        <v>0</v>
      </c>
      <c r="O105" s="15"/>
      <c r="P105" s="15"/>
      <c r="Q105" s="15">
        <f t="shared" si="20"/>
        <v>0</v>
      </c>
      <c r="R105" s="15">
        <f t="shared" si="21"/>
        <v>0</v>
      </c>
      <c r="S105" s="16" t="e">
        <f t="shared" si="16"/>
        <v>#DIV/0!</v>
      </c>
    </row>
    <row r="106" spans="1:19" ht="60" x14ac:dyDescent="0.25">
      <c r="A106" s="22"/>
      <c r="B106" s="22"/>
      <c r="C106" s="11" t="s">
        <v>138</v>
      </c>
      <c r="D106" s="12">
        <v>6.77</v>
      </c>
      <c r="E106" s="13">
        <v>66.64</v>
      </c>
      <c r="F106" s="13">
        <f t="shared" si="22"/>
        <v>451.15279999999996</v>
      </c>
      <c r="G106" s="13">
        <v>66.64</v>
      </c>
      <c r="H106" s="13">
        <f t="shared" si="23"/>
        <v>71.3048</v>
      </c>
      <c r="I106" s="13">
        <f t="shared" si="17"/>
        <v>451.15279999999996</v>
      </c>
      <c r="J106" s="13">
        <f t="shared" si="18"/>
        <v>482.73349599999995</v>
      </c>
      <c r="K106" s="14">
        <f t="shared" si="24"/>
        <v>107</v>
      </c>
      <c r="L106" s="12"/>
      <c r="M106" s="13"/>
      <c r="N106" s="13">
        <f t="shared" si="19"/>
        <v>0</v>
      </c>
      <c r="O106" s="15"/>
      <c r="P106" s="15"/>
      <c r="Q106" s="15">
        <f t="shared" si="20"/>
        <v>0</v>
      </c>
      <c r="R106" s="15">
        <f t="shared" si="21"/>
        <v>0</v>
      </c>
      <c r="S106" s="16" t="e">
        <f t="shared" si="16"/>
        <v>#DIV/0!</v>
      </c>
    </row>
    <row r="107" spans="1:19" ht="60" x14ac:dyDescent="0.25">
      <c r="A107" s="22"/>
      <c r="B107" s="22"/>
      <c r="C107" s="11" t="s">
        <v>139</v>
      </c>
      <c r="D107" s="12">
        <v>15.48</v>
      </c>
      <c r="E107" s="13">
        <v>67.758600000000001</v>
      </c>
      <c r="F107" s="13">
        <f t="shared" si="22"/>
        <v>1048.9031280000002</v>
      </c>
      <c r="G107" s="13">
        <v>67.758600000000001</v>
      </c>
      <c r="H107" s="13">
        <f t="shared" si="23"/>
        <v>72.501702000000009</v>
      </c>
      <c r="I107" s="13">
        <f t="shared" si="17"/>
        <v>1048.9031280000002</v>
      </c>
      <c r="J107" s="13">
        <f t="shared" si="18"/>
        <v>1122.3263469600001</v>
      </c>
      <c r="K107" s="14">
        <f t="shared" si="24"/>
        <v>107</v>
      </c>
      <c r="L107" s="12"/>
      <c r="M107" s="13"/>
      <c r="N107" s="13">
        <f t="shared" si="19"/>
        <v>0</v>
      </c>
      <c r="O107" s="15"/>
      <c r="P107" s="15"/>
      <c r="Q107" s="15">
        <f t="shared" si="20"/>
        <v>0</v>
      </c>
      <c r="R107" s="15">
        <f t="shared" si="21"/>
        <v>0</v>
      </c>
      <c r="S107" s="16" t="e">
        <f t="shared" si="16"/>
        <v>#DIV/0!</v>
      </c>
    </row>
    <row r="108" spans="1:19" ht="45" x14ac:dyDescent="0.25">
      <c r="A108" s="19"/>
      <c r="B108" s="19"/>
      <c r="C108" s="11" t="s">
        <v>236</v>
      </c>
      <c r="D108" s="12">
        <v>37.909999999999997</v>
      </c>
      <c r="E108" s="13">
        <v>53.23</v>
      </c>
      <c r="F108" s="13">
        <f t="shared" si="22"/>
        <v>2017.9492999999998</v>
      </c>
      <c r="G108" s="13">
        <v>53.23</v>
      </c>
      <c r="H108" s="13">
        <f t="shared" si="23"/>
        <v>56.956099999999999</v>
      </c>
      <c r="I108" s="13">
        <f t="shared" si="17"/>
        <v>2017.9492999999998</v>
      </c>
      <c r="J108" s="13">
        <f t="shared" si="18"/>
        <v>2159.205751</v>
      </c>
      <c r="K108" s="14">
        <f t="shared" si="24"/>
        <v>107</v>
      </c>
      <c r="L108" s="12"/>
      <c r="M108" s="13"/>
      <c r="N108" s="13">
        <f t="shared" si="19"/>
        <v>0</v>
      </c>
      <c r="O108" s="15"/>
      <c r="P108" s="15"/>
      <c r="Q108" s="15">
        <f t="shared" si="20"/>
        <v>0</v>
      </c>
      <c r="R108" s="15">
        <f t="shared" si="21"/>
        <v>0</v>
      </c>
      <c r="S108" s="16" t="e">
        <f t="shared" si="16"/>
        <v>#DIV/0!</v>
      </c>
    </row>
    <row r="109" spans="1:19" ht="60" x14ac:dyDescent="0.25">
      <c r="A109" s="17">
        <v>32</v>
      </c>
      <c r="B109" s="18" t="s">
        <v>238</v>
      </c>
      <c r="C109" s="11" t="s">
        <v>239</v>
      </c>
      <c r="D109" s="12">
        <v>26.9</v>
      </c>
      <c r="E109" s="13">
        <v>48.185279999999992</v>
      </c>
      <c r="F109" s="13">
        <f t="shared" si="22"/>
        <v>1296.1840319999997</v>
      </c>
      <c r="G109" s="13">
        <v>48.19</v>
      </c>
      <c r="H109" s="13">
        <v>54.17</v>
      </c>
      <c r="I109" s="13">
        <f t="shared" si="17"/>
        <v>1296.3109999999999</v>
      </c>
      <c r="J109" s="13">
        <f t="shared" si="18"/>
        <v>1457.173</v>
      </c>
      <c r="K109" s="14">
        <f t="shared" si="24"/>
        <v>112.42022459971179</v>
      </c>
      <c r="L109" s="12"/>
      <c r="M109" s="13"/>
      <c r="N109" s="13">
        <f t="shared" si="19"/>
        <v>0</v>
      </c>
      <c r="O109" s="15"/>
      <c r="P109" s="15"/>
      <c r="Q109" s="15">
        <f t="shared" si="20"/>
        <v>0</v>
      </c>
      <c r="R109" s="15">
        <f t="shared" si="21"/>
        <v>0</v>
      </c>
      <c r="S109" s="16" t="e">
        <f t="shared" si="16"/>
        <v>#DIV/0!</v>
      </c>
    </row>
    <row r="110" spans="1:19" ht="45" x14ac:dyDescent="0.25">
      <c r="A110" s="22"/>
      <c r="B110" s="22"/>
      <c r="C110" s="11" t="s">
        <v>240</v>
      </c>
      <c r="D110" s="12">
        <v>37.9</v>
      </c>
      <c r="E110" s="13">
        <v>41.435679999999998</v>
      </c>
      <c r="F110" s="13">
        <f t="shared" si="22"/>
        <v>1570.4122719999998</v>
      </c>
      <c r="G110" s="13">
        <v>41.44</v>
      </c>
      <c r="H110" s="13">
        <v>46.58</v>
      </c>
      <c r="I110" s="13">
        <f t="shared" si="17"/>
        <v>1570.5759999999998</v>
      </c>
      <c r="J110" s="13">
        <f t="shared" si="18"/>
        <v>1765.3819999999998</v>
      </c>
      <c r="K110" s="14">
        <f t="shared" si="24"/>
        <v>112.41519386190839</v>
      </c>
      <c r="L110" s="12"/>
      <c r="M110" s="13"/>
      <c r="N110" s="13">
        <f t="shared" si="19"/>
        <v>0</v>
      </c>
      <c r="O110" s="15"/>
      <c r="P110" s="15"/>
      <c r="Q110" s="15">
        <f t="shared" si="20"/>
        <v>0</v>
      </c>
      <c r="R110" s="15">
        <f t="shared" si="21"/>
        <v>0</v>
      </c>
      <c r="S110" s="16" t="e">
        <f t="shared" si="16"/>
        <v>#DIV/0!</v>
      </c>
    </row>
    <row r="111" spans="1:19" ht="60" x14ac:dyDescent="0.25">
      <c r="A111" s="22"/>
      <c r="B111" s="22"/>
      <c r="C111" s="11" t="s">
        <v>241</v>
      </c>
      <c r="D111" s="12">
        <v>44.74</v>
      </c>
      <c r="E111" s="13">
        <v>48.19</v>
      </c>
      <c r="F111" s="13">
        <f t="shared" si="22"/>
        <v>2156.0205999999998</v>
      </c>
      <c r="G111" s="13">
        <v>48.19</v>
      </c>
      <c r="H111" s="13">
        <v>54.17</v>
      </c>
      <c r="I111" s="13">
        <f t="shared" si="17"/>
        <v>2156.0205999999998</v>
      </c>
      <c r="J111" s="13">
        <f t="shared" si="18"/>
        <v>2423.5658000000003</v>
      </c>
      <c r="K111" s="14">
        <f t="shared" si="24"/>
        <v>112.40921352977797</v>
      </c>
      <c r="L111" s="12"/>
      <c r="M111" s="13"/>
      <c r="N111" s="13">
        <f t="shared" si="19"/>
        <v>0</v>
      </c>
      <c r="O111" s="15"/>
      <c r="P111" s="15"/>
      <c r="Q111" s="15">
        <f t="shared" si="20"/>
        <v>0</v>
      </c>
      <c r="R111" s="15">
        <f t="shared" si="21"/>
        <v>0</v>
      </c>
      <c r="S111" s="16" t="e">
        <f t="shared" si="16"/>
        <v>#DIV/0!</v>
      </c>
    </row>
    <row r="112" spans="1:19" ht="45" x14ac:dyDescent="0.25">
      <c r="A112" s="22"/>
      <c r="B112" s="22"/>
      <c r="C112" s="11" t="s">
        <v>242</v>
      </c>
      <c r="D112" s="12">
        <v>23.37</v>
      </c>
      <c r="E112" s="13">
        <v>48.185279999999992</v>
      </c>
      <c r="F112" s="13">
        <f t="shared" si="22"/>
        <v>1126.0899935999998</v>
      </c>
      <c r="G112" s="13">
        <v>48.19</v>
      </c>
      <c r="H112" s="13">
        <v>54.17</v>
      </c>
      <c r="I112" s="13">
        <f t="shared" si="17"/>
        <v>1126.2003</v>
      </c>
      <c r="J112" s="13">
        <f t="shared" si="18"/>
        <v>1265.9529</v>
      </c>
      <c r="K112" s="14">
        <f t="shared" si="24"/>
        <v>112.42022459971179</v>
      </c>
      <c r="L112" s="12"/>
      <c r="M112" s="13"/>
      <c r="N112" s="13">
        <f t="shared" si="19"/>
        <v>0</v>
      </c>
      <c r="O112" s="15"/>
      <c r="P112" s="15"/>
      <c r="Q112" s="15">
        <f t="shared" si="20"/>
        <v>0</v>
      </c>
      <c r="R112" s="15">
        <f t="shared" si="21"/>
        <v>0</v>
      </c>
      <c r="S112" s="16" t="e">
        <f t="shared" si="16"/>
        <v>#DIV/0!</v>
      </c>
    </row>
    <row r="113" spans="1:19" ht="45" x14ac:dyDescent="0.25">
      <c r="A113" s="22"/>
      <c r="B113" s="22"/>
      <c r="C113" s="11" t="s">
        <v>243</v>
      </c>
      <c r="D113" s="12">
        <v>25.95</v>
      </c>
      <c r="E113" s="13">
        <v>44.787599999999998</v>
      </c>
      <c r="F113" s="13">
        <f t="shared" si="22"/>
        <v>1162.23822</v>
      </c>
      <c r="G113" s="13">
        <v>44.79</v>
      </c>
      <c r="H113" s="13">
        <v>50.34</v>
      </c>
      <c r="I113" s="13">
        <f t="shared" si="17"/>
        <v>1162.3005000000001</v>
      </c>
      <c r="J113" s="13">
        <f t="shared" si="18"/>
        <v>1306.3230000000001</v>
      </c>
      <c r="K113" s="14">
        <f t="shared" si="24"/>
        <v>112.39718136269863</v>
      </c>
      <c r="L113" s="12"/>
      <c r="M113" s="13"/>
      <c r="N113" s="13">
        <f t="shared" si="19"/>
        <v>0</v>
      </c>
      <c r="O113" s="15"/>
      <c r="P113" s="15"/>
      <c r="Q113" s="15">
        <f t="shared" si="20"/>
        <v>0</v>
      </c>
      <c r="R113" s="15">
        <f t="shared" si="21"/>
        <v>0</v>
      </c>
      <c r="S113" s="16" t="e">
        <f t="shared" si="16"/>
        <v>#DIV/0!</v>
      </c>
    </row>
    <row r="114" spans="1:19" ht="45" x14ac:dyDescent="0.25">
      <c r="A114" s="22"/>
      <c r="B114" s="22"/>
      <c r="C114" s="11" t="s">
        <v>244</v>
      </c>
      <c r="D114" s="12">
        <v>32.53</v>
      </c>
      <c r="E114" s="13">
        <v>28.577119999999997</v>
      </c>
      <c r="F114" s="13">
        <f t="shared" si="22"/>
        <v>929.61371359999998</v>
      </c>
      <c r="G114" s="13">
        <v>28.58</v>
      </c>
      <c r="H114" s="13">
        <v>32.15</v>
      </c>
      <c r="I114" s="13">
        <f t="shared" si="17"/>
        <v>929.70740000000001</v>
      </c>
      <c r="J114" s="13">
        <f t="shared" si="18"/>
        <v>1045.8395</v>
      </c>
      <c r="K114" s="14">
        <f t="shared" si="24"/>
        <v>112.50258948417475</v>
      </c>
      <c r="L114" s="12"/>
      <c r="M114" s="13"/>
      <c r="N114" s="13">
        <f t="shared" si="19"/>
        <v>0</v>
      </c>
      <c r="O114" s="15"/>
      <c r="P114" s="15"/>
      <c r="Q114" s="15">
        <f t="shared" si="20"/>
        <v>0</v>
      </c>
      <c r="R114" s="15">
        <f t="shared" si="21"/>
        <v>0</v>
      </c>
      <c r="S114" s="16" t="e">
        <f t="shared" si="16"/>
        <v>#DIV/0!</v>
      </c>
    </row>
    <row r="115" spans="1:19" ht="45" x14ac:dyDescent="0.25">
      <c r="A115" s="22"/>
      <c r="B115" s="22"/>
      <c r="C115" s="11" t="s">
        <v>245</v>
      </c>
      <c r="D115" s="12">
        <v>56.65</v>
      </c>
      <c r="E115" s="13">
        <v>41.435679999999998</v>
      </c>
      <c r="F115" s="13">
        <f t="shared" si="22"/>
        <v>2347.3312719999999</v>
      </c>
      <c r="G115" s="13">
        <v>41.44</v>
      </c>
      <c r="H115" s="13">
        <v>46.58</v>
      </c>
      <c r="I115" s="13">
        <f t="shared" si="17"/>
        <v>2347.576</v>
      </c>
      <c r="J115" s="13">
        <f t="shared" si="18"/>
        <v>2638.7570000000001</v>
      </c>
      <c r="K115" s="14">
        <f t="shared" si="24"/>
        <v>112.41519386190839</v>
      </c>
      <c r="L115" s="12"/>
      <c r="M115" s="13"/>
      <c r="N115" s="13">
        <f t="shared" si="19"/>
        <v>0</v>
      </c>
      <c r="O115" s="15"/>
      <c r="P115" s="15"/>
      <c r="Q115" s="15">
        <f t="shared" si="20"/>
        <v>0</v>
      </c>
      <c r="R115" s="15">
        <f t="shared" si="21"/>
        <v>0</v>
      </c>
      <c r="S115" s="16" t="e">
        <f t="shared" si="16"/>
        <v>#DIV/0!</v>
      </c>
    </row>
    <row r="116" spans="1:19" ht="45" x14ac:dyDescent="0.25">
      <c r="A116" s="19"/>
      <c r="B116" s="19"/>
      <c r="C116" s="11" t="s">
        <v>246</v>
      </c>
      <c r="D116" s="12">
        <v>37.83</v>
      </c>
      <c r="E116" s="13">
        <v>44.787599999999998</v>
      </c>
      <c r="F116" s="13">
        <f t="shared" si="22"/>
        <v>1694.3149079999998</v>
      </c>
      <c r="G116" s="13">
        <v>44.79</v>
      </c>
      <c r="H116" s="13">
        <v>50.34</v>
      </c>
      <c r="I116" s="13">
        <f t="shared" si="17"/>
        <v>1694.4056999999998</v>
      </c>
      <c r="J116" s="13">
        <f t="shared" si="18"/>
        <v>1904.3622</v>
      </c>
      <c r="K116" s="14">
        <f t="shared" si="24"/>
        <v>112.39718136269863</v>
      </c>
      <c r="L116" s="12"/>
      <c r="M116" s="13"/>
      <c r="N116" s="13">
        <f t="shared" si="19"/>
        <v>0</v>
      </c>
      <c r="O116" s="15"/>
      <c r="P116" s="15"/>
      <c r="Q116" s="15">
        <f t="shared" si="20"/>
        <v>0</v>
      </c>
      <c r="R116" s="15">
        <f t="shared" si="21"/>
        <v>0</v>
      </c>
      <c r="S116" s="16" t="e">
        <f t="shared" si="16"/>
        <v>#DIV/0!</v>
      </c>
    </row>
    <row r="117" spans="1:19" ht="90" x14ac:dyDescent="0.25">
      <c r="A117" s="2">
        <v>33</v>
      </c>
      <c r="B117" s="19" t="s">
        <v>247</v>
      </c>
      <c r="C117" s="11" t="s">
        <v>248</v>
      </c>
      <c r="D117" s="12">
        <v>39.369999999999997</v>
      </c>
      <c r="E117" s="13">
        <v>50.34</v>
      </c>
      <c r="F117" s="13">
        <f t="shared" si="22"/>
        <v>1981.8858</v>
      </c>
      <c r="G117" s="13">
        <v>50.34</v>
      </c>
      <c r="H117" s="13">
        <v>56.58</v>
      </c>
      <c r="I117" s="13">
        <f t="shared" si="17"/>
        <v>1981.8858</v>
      </c>
      <c r="J117" s="13">
        <f t="shared" si="18"/>
        <v>2227.5545999999999</v>
      </c>
      <c r="K117" s="14">
        <f t="shared" si="24"/>
        <v>112.39570917759237</v>
      </c>
      <c r="L117" s="12"/>
      <c r="M117" s="13"/>
      <c r="N117" s="13">
        <f t="shared" si="19"/>
        <v>0</v>
      </c>
      <c r="O117" s="15"/>
      <c r="P117" s="15"/>
      <c r="Q117" s="15">
        <f t="shared" si="20"/>
        <v>0</v>
      </c>
      <c r="R117" s="15">
        <f t="shared" si="21"/>
        <v>0</v>
      </c>
      <c r="S117" s="16" t="e">
        <f t="shared" si="16"/>
        <v>#DIV/0!</v>
      </c>
    </row>
    <row r="118" spans="1:19" ht="45" x14ac:dyDescent="0.25">
      <c r="A118" s="2">
        <v>34</v>
      </c>
      <c r="B118" s="10" t="s">
        <v>17</v>
      </c>
      <c r="C118" s="11" t="s">
        <v>143</v>
      </c>
      <c r="D118" s="12">
        <v>185.51</v>
      </c>
      <c r="E118" s="13">
        <v>37.56</v>
      </c>
      <c r="F118" s="13">
        <f t="shared" si="22"/>
        <v>6967.7556000000004</v>
      </c>
      <c r="G118" s="13">
        <v>37.56</v>
      </c>
      <c r="H118" s="13">
        <v>42.01</v>
      </c>
      <c r="I118" s="13">
        <f t="shared" si="17"/>
        <v>6967.7556000000004</v>
      </c>
      <c r="J118" s="13">
        <f t="shared" si="18"/>
        <v>7793.2750999999989</v>
      </c>
      <c r="K118" s="14">
        <f t="shared" si="24"/>
        <v>111.84771033013843</v>
      </c>
      <c r="L118" s="12">
        <v>8.36</v>
      </c>
      <c r="M118" s="13">
        <v>15.15</v>
      </c>
      <c r="N118" s="13">
        <f t="shared" si="19"/>
        <v>126.654</v>
      </c>
      <c r="O118" s="15">
        <v>15.15</v>
      </c>
      <c r="P118" s="15">
        <v>17.03</v>
      </c>
      <c r="Q118" s="15">
        <f t="shared" si="20"/>
        <v>126.654</v>
      </c>
      <c r="R118" s="15">
        <f t="shared" si="21"/>
        <v>142.3708</v>
      </c>
      <c r="S118" s="16">
        <f t="shared" si="16"/>
        <v>112.40924092409242</v>
      </c>
    </row>
    <row r="119" spans="1:19" ht="45" x14ac:dyDescent="0.25">
      <c r="A119" s="17">
        <v>35</v>
      </c>
      <c r="B119" s="18" t="s">
        <v>115</v>
      </c>
      <c r="C119" s="11" t="s">
        <v>156</v>
      </c>
      <c r="D119" s="12">
        <v>91.06</v>
      </c>
      <c r="E119" s="13">
        <v>60.254479999999994</v>
      </c>
      <c r="F119" s="13">
        <f t="shared" si="22"/>
        <v>5486.7729487999995</v>
      </c>
      <c r="G119" s="13">
        <v>60.254479999999994</v>
      </c>
      <c r="H119" s="13">
        <f>G119*1.07</f>
        <v>64.4722936</v>
      </c>
      <c r="I119" s="13">
        <f t="shared" si="17"/>
        <v>5486.7729487999995</v>
      </c>
      <c r="J119" s="13">
        <f t="shared" si="18"/>
        <v>5870.8470552160006</v>
      </c>
      <c r="K119" s="14">
        <f t="shared" si="24"/>
        <v>107</v>
      </c>
      <c r="L119" s="12"/>
      <c r="M119" s="13"/>
      <c r="N119" s="13">
        <f t="shared" si="19"/>
        <v>0</v>
      </c>
      <c r="O119" s="15"/>
      <c r="P119" s="15"/>
      <c r="Q119" s="15">
        <f t="shared" si="20"/>
        <v>0</v>
      </c>
      <c r="R119" s="15">
        <f t="shared" si="21"/>
        <v>0</v>
      </c>
      <c r="S119" s="16" t="e">
        <f t="shared" si="16"/>
        <v>#DIV/0!</v>
      </c>
    </row>
    <row r="120" spans="1:19" ht="45" x14ac:dyDescent="0.25">
      <c r="A120" s="22"/>
      <c r="B120" s="22"/>
      <c r="C120" s="11" t="s">
        <v>54</v>
      </c>
      <c r="D120" s="12">
        <f>5.94+19.43</f>
        <v>25.37</v>
      </c>
      <c r="E120" s="13">
        <v>50.21</v>
      </c>
      <c r="F120" s="13">
        <f t="shared" si="22"/>
        <v>1273.8277</v>
      </c>
      <c r="G120" s="13">
        <v>50.21</v>
      </c>
      <c r="H120" s="13">
        <f t="shared" ref="H120:H129" si="25">G120*1.07</f>
        <v>53.724700000000006</v>
      </c>
      <c r="I120" s="13">
        <f t="shared" si="17"/>
        <v>1273.8277</v>
      </c>
      <c r="J120" s="13">
        <f t="shared" si="18"/>
        <v>1362.9956390000002</v>
      </c>
      <c r="K120" s="14">
        <f t="shared" si="24"/>
        <v>107</v>
      </c>
      <c r="L120" s="12"/>
      <c r="M120" s="13"/>
      <c r="N120" s="13">
        <f t="shared" si="19"/>
        <v>0</v>
      </c>
      <c r="O120" s="15"/>
      <c r="P120" s="15"/>
      <c r="Q120" s="15">
        <f t="shared" si="20"/>
        <v>0</v>
      </c>
      <c r="R120" s="15">
        <f t="shared" si="21"/>
        <v>0</v>
      </c>
      <c r="S120" s="16" t="e">
        <f t="shared" si="16"/>
        <v>#DIV/0!</v>
      </c>
    </row>
    <row r="121" spans="1:19" ht="30" x14ac:dyDescent="0.25">
      <c r="A121" s="22"/>
      <c r="B121" s="22"/>
      <c r="C121" s="11" t="s">
        <v>55</v>
      </c>
      <c r="D121" s="12">
        <v>7.86</v>
      </c>
      <c r="E121" s="13">
        <v>63.32</v>
      </c>
      <c r="F121" s="13">
        <f t="shared" si="22"/>
        <v>497.6952</v>
      </c>
      <c r="G121" s="13">
        <v>63.32</v>
      </c>
      <c r="H121" s="13">
        <f t="shared" si="25"/>
        <v>67.752400000000009</v>
      </c>
      <c r="I121" s="13">
        <f t="shared" si="17"/>
        <v>497.6952</v>
      </c>
      <c r="J121" s="13">
        <f t="shared" si="18"/>
        <v>532.53386400000011</v>
      </c>
      <c r="K121" s="14">
        <f t="shared" si="24"/>
        <v>107</v>
      </c>
      <c r="L121" s="12"/>
      <c r="M121" s="13"/>
      <c r="N121" s="13">
        <f t="shared" si="19"/>
        <v>0</v>
      </c>
      <c r="O121" s="15"/>
      <c r="P121" s="15"/>
      <c r="Q121" s="15">
        <f t="shared" si="20"/>
        <v>0</v>
      </c>
      <c r="R121" s="15">
        <f t="shared" si="21"/>
        <v>0</v>
      </c>
      <c r="S121" s="16" t="e">
        <f t="shared" si="16"/>
        <v>#DIV/0!</v>
      </c>
    </row>
    <row r="122" spans="1:19" ht="45" x14ac:dyDescent="0.25">
      <c r="A122" s="22"/>
      <c r="B122" s="22"/>
      <c r="C122" s="11" t="s">
        <v>56</v>
      </c>
      <c r="D122" s="12">
        <v>48.76</v>
      </c>
      <c r="E122" s="13">
        <v>22.28</v>
      </c>
      <c r="F122" s="13">
        <f t="shared" si="22"/>
        <v>1086.3728000000001</v>
      </c>
      <c r="G122" s="13">
        <v>22.28</v>
      </c>
      <c r="H122" s="13">
        <f t="shared" si="25"/>
        <v>23.839600000000004</v>
      </c>
      <c r="I122" s="13">
        <f t="shared" si="17"/>
        <v>1086.3728000000001</v>
      </c>
      <c r="J122" s="13">
        <f t="shared" si="18"/>
        <v>1162.4188960000001</v>
      </c>
      <c r="K122" s="14">
        <f t="shared" si="24"/>
        <v>107</v>
      </c>
      <c r="L122" s="12"/>
      <c r="M122" s="13"/>
      <c r="N122" s="13">
        <f t="shared" si="19"/>
        <v>0</v>
      </c>
      <c r="O122" s="15"/>
      <c r="P122" s="15"/>
      <c r="Q122" s="15">
        <f t="shared" si="20"/>
        <v>0</v>
      </c>
      <c r="R122" s="15">
        <f t="shared" si="21"/>
        <v>0</v>
      </c>
      <c r="S122" s="16" t="e">
        <f t="shared" si="16"/>
        <v>#DIV/0!</v>
      </c>
    </row>
    <row r="123" spans="1:19" ht="30" x14ac:dyDescent="0.25">
      <c r="A123" s="22"/>
      <c r="B123" s="22"/>
      <c r="C123" s="11" t="s">
        <v>57</v>
      </c>
      <c r="D123" s="12">
        <v>26.25</v>
      </c>
      <c r="E123" s="13">
        <v>30.590559999999996</v>
      </c>
      <c r="F123" s="13">
        <f t="shared" si="22"/>
        <v>803.0021999999999</v>
      </c>
      <c r="G123" s="13">
        <v>30.590559999999996</v>
      </c>
      <c r="H123" s="13">
        <f t="shared" si="25"/>
        <v>32.731899200000001</v>
      </c>
      <c r="I123" s="13">
        <f t="shared" si="17"/>
        <v>803.0021999999999</v>
      </c>
      <c r="J123" s="13">
        <f t="shared" si="18"/>
        <v>859.212354</v>
      </c>
      <c r="K123" s="14">
        <f t="shared" si="24"/>
        <v>107</v>
      </c>
      <c r="L123" s="12"/>
      <c r="M123" s="13"/>
      <c r="N123" s="13">
        <f t="shared" si="19"/>
        <v>0</v>
      </c>
      <c r="O123" s="15"/>
      <c r="P123" s="15"/>
      <c r="Q123" s="15">
        <f t="shared" si="20"/>
        <v>0</v>
      </c>
      <c r="R123" s="15">
        <f t="shared" si="21"/>
        <v>0</v>
      </c>
      <c r="S123" s="16" t="e">
        <f t="shared" si="16"/>
        <v>#DIV/0!</v>
      </c>
    </row>
    <row r="124" spans="1:19" ht="30" x14ac:dyDescent="0.25">
      <c r="A124" s="22"/>
      <c r="B124" s="22"/>
      <c r="C124" s="11" t="s">
        <v>58</v>
      </c>
      <c r="D124" s="12">
        <v>5.66</v>
      </c>
      <c r="E124" s="13">
        <v>42.419519999999991</v>
      </c>
      <c r="F124" s="13">
        <f t="shared" si="22"/>
        <v>240.09448319999996</v>
      </c>
      <c r="G124" s="13">
        <v>42.419519999999991</v>
      </c>
      <c r="H124" s="13">
        <f t="shared" si="25"/>
        <v>45.388886399999997</v>
      </c>
      <c r="I124" s="13">
        <f t="shared" si="17"/>
        <v>240.09448319999996</v>
      </c>
      <c r="J124" s="13">
        <f t="shared" si="18"/>
        <v>256.90109702399997</v>
      </c>
      <c r="K124" s="14">
        <f t="shared" si="24"/>
        <v>107</v>
      </c>
      <c r="L124" s="12"/>
      <c r="M124" s="13"/>
      <c r="N124" s="13">
        <f t="shared" si="19"/>
        <v>0</v>
      </c>
      <c r="O124" s="15"/>
      <c r="P124" s="15"/>
      <c r="Q124" s="15">
        <f t="shared" si="20"/>
        <v>0</v>
      </c>
      <c r="R124" s="15">
        <f t="shared" si="21"/>
        <v>0</v>
      </c>
      <c r="S124" s="16" t="e">
        <f t="shared" si="16"/>
        <v>#DIV/0!</v>
      </c>
    </row>
    <row r="125" spans="1:19" ht="30" x14ac:dyDescent="0.25">
      <c r="A125" s="22"/>
      <c r="B125" s="22"/>
      <c r="C125" s="11" t="s">
        <v>59</v>
      </c>
      <c r="D125" s="12">
        <v>10.25</v>
      </c>
      <c r="E125" s="13">
        <v>41.6</v>
      </c>
      <c r="F125" s="13">
        <f t="shared" si="22"/>
        <v>426.40000000000003</v>
      </c>
      <c r="G125" s="13">
        <v>41.6</v>
      </c>
      <c r="H125" s="13">
        <f t="shared" si="25"/>
        <v>44.512000000000008</v>
      </c>
      <c r="I125" s="13">
        <f t="shared" si="17"/>
        <v>426.40000000000003</v>
      </c>
      <c r="J125" s="13">
        <f t="shared" si="18"/>
        <v>456.2480000000001</v>
      </c>
      <c r="K125" s="14">
        <f t="shared" si="24"/>
        <v>107</v>
      </c>
      <c r="L125" s="12"/>
      <c r="M125" s="13"/>
      <c r="N125" s="13">
        <f t="shared" si="19"/>
        <v>0</v>
      </c>
      <c r="O125" s="15"/>
      <c r="P125" s="15"/>
      <c r="Q125" s="15">
        <f t="shared" si="20"/>
        <v>0</v>
      </c>
      <c r="R125" s="15">
        <f t="shared" si="21"/>
        <v>0</v>
      </c>
      <c r="S125" s="16" t="e">
        <f t="shared" si="16"/>
        <v>#DIV/0!</v>
      </c>
    </row>
    <row r="126" spans="1:19" ht="30" x14ac:dyDescent="0.25">
      <c r="A126" s="22"/>
      <c r="B126" s="22"/>
      <c r="C126" s="11" t="s">
        <v>221</v>
      </c>
      <c r="D126" s="12">
        <v>10.61</v>
      </c>
      <c r="E126" s="13">
        <v>53.813759999999995</v>
      </c>
      <c r="F126" s="13">
        <f t="shared" si="22"/>
        <v>570.96399359999987</v>
      </c>
      <c r="G126" s="13">
        <v>53.813759999999995</v>
      </c>
      <c r="H126" s="13">
        <f t="shared" si="25"/>
        <v>57.580723200000001</v>
      </c>
      <c r="I126" s="13">
        <f t="shared" si="17"/>
        <v>570.96399359999987</v>
      </c>
      <c r="J126" s="13">
        <f t="shared" si="18"/>
        <v>610.93147315199997</v>
      </c>
      <c r="K126" s="14">
        <f t="shared" si="24"/>
        <v>107</v>
      </c>
      <c r="L126" s="12"/>
      <c r="M126" s="13"/>
      <c r="N126" s="13">
        <f t="shared" si="19"/>
        <v>0</v>
      </c>
      <c r="O126" s="15"/>
      <c r="P126" s="15"/>
      <c r="Q126" s="15">
        <f t="shared" si="20"/>
        <v>0</v>
      </c>
      <c r="R126" s="15">
        <f t="shared" si="21"/>
        <v>0</v>
      </c>
      <c r="S126" s="16" t="e">
        <f t="shared" si="16"/>
        <v>#DIV/0!</v>
      </c>
    </row>
    <row r="127" spans="1:19" ht="30" x14ac:dyDescent="0.25">
      <c r="A127" s="22"/>
      <c r="B127" s="22"/>
      <c r="C127" s="11" t="s">
        <v>222</v>
      </c>
      <c r="D127" s="12">
        <v>14.32</v>
      </c>
      <c r="E127" s="13">
        <v>38.32</v>
      </c>
      <c r="F127" s="13">
        <f t="shared" si="22"/>
        <v>548.74239999999998</v>
      </c>
      <c r="G127" s="13">
        <v>38.32</v>
      </c>
      <c r="H127" s="13">
        <f t="shared" si="25"/>
        <v>41.002400000000002</v>
      </c>
      <c r="I127" s="13">
        <f t="shared" si="17"/>
        <v>548.74239999999998</v>
      </c>
      <c r="J127" s="13">
        <f t="shared" si="18"/>
        <v>587.15436799999998</v>
      </c>
      <c r="K127" s="14">
        <f t="shared" si="24"/>
        <v>107</v>
      </c>
      <c r="L127" s="12"/>
      <c r="M127" s="13"/>
      <c r="N127" s="13">
        <f t="shared" si="19"/>
        <v>0</v>
      </c>
      <c r="O127" s="15"/>
      <c r="P127" s="15"/>
      <c r="Q127" s="15">
        <f t="shared" si="20"/>
        <v>0</v>
      </c>
      <c r="R127" s="15">
        <f t="shared" si="21"/>
        <v>0</v>
      </c>
      <c r="S127" s="16" t="e">
        <f t="shared" si="16"/>
        <v>#DIV/0!</v>
      </c>
    </row>
    <row r="128" spans="1:19" ht="30" x14ac:dyDescent="0.25">
      <c r="A128" s="22"/>
      <c r="B128" s="22"/>
      <c r="C128" s="11" t="s">
        <v>223</v>
      </c>
      <c r="D128" s="12">
        <v>84.7</v>
      </c>
      <c r="E128" s="13">
        <v>31.18544</v>
      </c>
      <c r="F128" s="13">
        <f t="shared" si="22"/>
        <v>2641.4067680000003</v>
      </c>
      <c r="G128" s="13">
        <v>31.18544</v>
      </c>
      <c r="H128" s="13">
        <f t="shared" si="25"/>
        <v>33.368420800000003</v>
      </c>
      <c r="I128" s="13">
        <f t="shared" si="17"/>
        <v>2641.4067680000003</v>
      </c>
      <c r="J128" s="13">
        <f t="shared" si="18"/>
        <v>2826.3052417600002</v>
      </c>
      <c r="K128" s="14">
        <f t="shared" si="24"/>
        <v>107</v>
      </c>
      <c r="L128" s="12"/>
      <c r="M128" s="13"/>
      <c r="N128" s="13">
        <f t="shared" si="19"/>
        <v>0</v>
      </c>
      <c r="O128" s="15"/>
      <c r="P128" s="15"/>
      <c r="Q128" s="15">
        <f t="shared" si="20"/>
        <v>0</v>
      </c>
      <c r="R128" s="15">
        <f t="shared" si="21"/>
        <v>0</v>
      </c>
      <c r="S128" s="16" t="e">
        <f t="shared" si="16"/>
        <v>#DIV/0!</v>
      </c>
    </row>
    <row r="129" spans="1:19" ht="30" x14ac:dyDescent="0.25">
      <c r="A129" s="19"/>
      <c r="B129" s="19"/>
      <c r="C129" s="11" t="s">
        <v>224</v>
      </c>
      <c r="D129" s="12">
        <v>30.88</v>
      </c>
      <c r="E129" s="13">
        <v>36.43</v>
      </c>
      <c r="F129" s="13">
        <f t="shared" si="22"/>
        <v>1124.9584</v>
      </c>
      <c r="G129" s="13">
        <v>36.43</v>
      </c>
      <c r="H129" s="13">
        <f t="shared" si="25"/>
        <v>38.9801</v>
      </c>
      <c r="I129" s="13">
        <f t="shared" si="17"/>
        <v>1124.9584</v>
      </c>
      <c r="J129" s="13">
        <f t="shared" si="18"/>
        <v>1203.7054880000001</v>
      </c>
      <c r="K129" s="14">
        <f t="shared" si="24"/>
        <v>107</v>
      </c>
      <c r="L129" s="12"/>
      <c r="M129" s="13"/>
      <c r="N129" s="13">
        <f t="shared" si="19"/>
        <v>0</v>
      </c>
      <c r="O129" s="15"/>
      <c r="P129" s="15"/>
      <c r="Q129" s="15">
        <f t="shared" si="20"/>
        <v>0</v>
      </c>
      <c r="R129" s="15">
        <f t="shared" si="21"/>
        <v>0</v>
      </c>
      <c r="S129" s="16" t="e">
        <f t="shared" si="16"/>
        <v>#DIV/0!</v>
      </c>
    </row>
    <row r="130" spans="1:19" ht="45" x14ac:dyDescent="0.25">
      <c r="A130" s="28">
        <v>36</v>
      </c>
      <c r="B130" s="10" t="s">
        <v>18</v>
      </c>
      <c r="C130" s="11" t="s">
        <v>166</v>
      </c>
      <c r="D130" s="12">
        <v>208.06299999999999</v>
      </c>
      <c r="E130" s="13">
        <v>45.55</v>
      </c>
      <c r="F130" s="13">
        <f t="shared" si="22"/>
        <v>9477.2696499999984</v>
      </c>
      <c r="G130" s="13">
        <v>45.55</v>
      </c>
      <c r="H130" s="13">
        <v>46.13</v>
      </c>
      <c r="I130" s="13">
        <f t="shared" si="17"/>
        <v>9477.2696499999984</v>
      </c>
      <c r="J130" s="13">
        <f t="shared" si="18"/>
        <v>9597.9461900000006</v>
      </c>
      <c r="K130" s="14">
        <f t="shared" si="24"/>
        <v>101.27332601536774</v>
      </c>
      <c r="L130" s="12">
        <v>45.573999999999998</v>
      </c>
      <c r="M130" s="13">
        <v>60.02</v>
      </c>
      <c r="N130" s="13">
        <f t="shared" si="19"/>
        <v>2735.3514799999998</v>
      </c>
      <c r="O130" s="15">
        <v>60.02</v>
      </c>
      <c r="P130" s="15">
        <v>67.459999999999994</v>
      </c>
      <c r="Q130" s="15">
        <f t="shared" si="20"/>
        <v>2735.3514799999998</v>
      </c>
      <c r="R130" s="15">
        <f t="shared" si="21"/>
        <v>3074.4220399999995</v>
      </c>
      <c r="S130" s="16">
        <f t="shared" si="16"/>
        <v>112.39586804398533</v>
      </c>
    </row>
    <row r="131" spans="1:19" ht="45" x14ac:dyDescent="0.25">
      <c r="A131" s="125">
        <v>37</v>
      </c>
      <c r="B131" s="29" t="s">
        <v>19</v>
      </c>
      <c r="C131" s="11" t="s">
        <v>171</v>
      </c>
      <c r="D131" s="12">
        <v>8.35</v>
      </c>
      <c r="E131" s="13">
        <v>52.34</v>
      </c>
      <c r="F131" s="13">
        <f t="shared" si="22"/>
        <v>437.03899999999999</v>
      </c>
      <c r="G131" s="13">
        <v>52.34</v>
      </c>
      <c r="H131" s="13">
        <v>57.23</v>
      </c>
      <c r="I131" s="13">
        <f t="shared" si="17"/>
        <v>437.03899999999999</v>
      </c>
      <c r="J131" s="13">
        <f t="shared" si="18"/>
        <v>477.87049999999994</v>
      </c>
      <c r="K131" s="14">
        <f t="shared" si="24"/>
        <v>109.34275888421855</v>
      </c>
      <c r="L131" s="12"/>
      <c r="M131" s="13"/>
      <c r="N131" s="13">
        <f t="shared" si="19"/>
        <v>0</v>
      </c>
      <c r="O131" s="15"/>
      <c r="P131" s="15"/>
      <c r="Q131" s="15">
        <f t="shared" si="20"/>
        <v>0</v>
      </c>
      <c r="R131" s="15">
        <f t="shared" si="21"/>
        <v>0</v>
      </c>
      <c r="S131" s="16" t="e">
        <f t="shared" si="16"/>
        <v>#DIV/0!</v>
      </c>
    </row>
    <row r="132" spans="1:19" ht="30" x14ac:dyDescent="0.25">
      <c r="A132" s="126"/>
      <c r="B132" s="30"/>
      <c r="C132" s="11" t="s">
        <v>150</v>
      </c>
      <c r="D132" s="12">
        <v>37.200000000000003</v>
      </c>
      <c r="E132" s="13">
        <v>52.34</v>
      </c>
      <c r="F132" s="13">
        <f t="shared" si="22"/>
        <v>1947.0480000000002</v>
      </c>
      <c r="G132" s="13">
        <v>52.34</v>
      </c>
      <c r="H132" s="13">
        <v>57.23</v>
      </c>
      <c r="I132" s="13">
        <f t="shared" si="17"/>
        <v>1947.0480000000002</v>
      </c>
      <c r="J132" s="13">
        <f t="shared" si="18"/>
        <v>2128.9560000000001</v>
      </c>
      <c r="K132" s="14">
        <f t="shared" si="24"/>
        <v>109.34275888421855</v>
      </c>
      <c r="L132" s="12">
        <v>18.600000000000001</v>
      </c>
      <c r="M132" s="13">
        <v>24.79</v>
      </c>
      <c r="N132" s="13">
        <f t="shared" si="19"/>
        <v>461.09399999999999</v>
      </c>
      <c r="O132" s="15">
        <v>24.79</v>
      </c>
      <c r="P132" s="15">
        <v>27.86</v>
      </c>
      <c r="Q132" s="15">
        <f t="shared" si="20"/>
        <v>461.09399999999999</v>
      </c>
      <c r="R132" s="15">
        <f t="shared" si="21"/>
        <v>518.19600000000003</v>
      </c>
      <c r="S132" s="16">
        <f t="shared" si="16"/>
        <v>112.38402581686164</v>
      </c>
    </row>
    <row r="133" spans="1:19" ht="45" x14ac:dyDescent="0.25">
      <c r="A133" s="2">
        <v>38</v>
      </c>
      <c r="B133" s="10" t="s">
        <v>20</v>
      </c>
      <c r="C133" s="11" t="s">
        <v>147</v>
      </c>
      <c r="D133" s="12">
        <v>145.30000000000001</v>
      </c>
      <c r="E133" s="13">
        <v>46.71</v>
      </c>
      <c r="F133" s="13">
        <f t="shared" si="22"/>
        <v>6786.9630000000006</v>
      </c>
      <c r="G133" s="13">
        <v>46.71</v>
      </c>
      <c r="H133" s="13">
        <v>52.5</v>
      </c>
      <c r="I133" s="13">
        <f t="shared" si="17"/>
        <v>6786.9630000000006</v>
      </c>
      <c r="J133" s="13">
        <f t="shared" si="18"/>
        <v>7628.2500000000009</v>
      </c>
      <c r="K133" s="14">
        <f t="shared" si="24"/>
        <v>112.39563262684649</v>
      </c>
      <c r="L133" s="12">
        <v>11.9</v>
      </c>
      <c r="M133" s="13">
        <v>61.46</v>
      </c>
      <c r="N133" s="13">
        <f t="shared" si="19"/>
        <v>731.37400000000002</v>
      </c>
      <c r="O133" s="15">
        <v>59.87</v>
      </c>
      <c r="P133" s="15">
        <v>59.87</v>
      </c>
      <c r="Q133" s="15">
        <f t="shared" si="20"/>
        <v>712.45299999999997</v>
      </c>
      <c r="R133" s="15">
        <f t="shared" si="21"/>
        <v>712.45299999999997</v>
      </c>
      <c r="S133" s="16">
        <f t="shared" ref="S133:S138" si="26">R133/Q133*100</f>
        <v>100</v>
      </c>
    </row>
    <row r="134" spans="1:19" ht="45" x14ac:dyDescent="0.25">
      <c r="A134" s="2">
        <v>39</v>
      </c>
      <c r="B134" s="10" t="s">
        <v>21</v>
      </c>
      <c r="C134" s="11" t="s">
        <v>117</v>
      </c>
      <c r="D134" s="12">
        <v>127</v>
      </c>
      <c r="E134" s="13">
        <v>61.08</v>
      </c>
      <c r="F134" s="13">
        <f t="shared" si="22"/>
        <v>7757.16</v>
      </c>
      <c r="G134" s="13">
        <v>61.08</v>
      </c>
      <c r="H134" s="13">
        <v>61.86</v>
      </c>
      <c r="I134" s="13">
        <f t="shared" ref="I134:I197" si="27">G134*D134</f>
        <v>7757.16</v>
      </c>
      <c r="J134" s="13">
        <f t="shared" ref="J134:J197" si="28">H134*D134</f>
        <v>7856.22</v>
      </c>
      <c r="K134" s="14">
        <f t="shared" si="24"/>
        <v>101.27701375245579</v>
      </c>
      <c r="L134" s="12">
        <v>17.649999999999999</v>
      </c>
      <c r="M134" s="13">
        <v>34.92</v>
      </c>
      <c r="N134" s="13">
        <f t="shared" si="19"/>
        <v>616.33799999999997</v>
      </c>
      <c r="O134" s="15">
        <v>34.92</v>
      </c>
      <c r="P134" s="15">
        <v>36.83</v>
      </c>
      <c r="Q134" s="15">
        <f t="shared" si="20"/>
        <v>616.33799999999997</v>
      </c>
      <c r="R134" s="15">
        <f t="shared" si="21"/>
        <v>650.04949999999997</v>
      </c>
      <c r="S134" s="16">
        <f t="shared" si="26"/>
        <v>105.4696449026346</v>
      </c>
    </row>
    <row r="135" spans="1:19" ht="45" x14ac:dyDescent="0.25">
      <c r="A135" s="125">
        <v>40</v>
      </c>
      <c r="B135" s="97" t="s">
        <v>234</v>
      </c>
      <c r="C135" s="11" t="s">
        <v>144</v>
      </c>
      <c r="D135" s="12">
        <v>38</v>
      </c>
      <c r="E135" s="13">
        <v>63.45</v>
      </c>
      <c r="F135" s="13">
        <f t="shared" si="22"/>
        <v>2411.1</v>
      </c>
      <c r="G135" s="13">
        <v>56.66</v>
      </c>
      <c r="H135" s="13">
        <v>56.66</v>
      </c>
      <c r="I135" s="13">
        <f t="shared" si="27"/>
        <v>2153.08</v>
      </c>
      <c r="J135" s="13">
        <f t="shared" si="28"/>
        <v>2153.08</v>
      </c>
      <c r="K135" s="14">
        <f t="shared" si="24"/>
        <v>89.298660362490139</v>
      </c>
      <c r="L135" s="12"/>
      <c r="M135" s="13"/>
      <c r="N135" s="13">
        <f t="shared" si="19"/>
        <v>0</v>
      </c>
      <c r="O135" s="15"/>
      <c r="P135" s="15"/>
      <c r="Q135" s="15">
        <f t="shared" ref="Q135:Q198" si="29">O135*L135</f>
        <v>0</v>
      </c>
      <c r="R135" s="15">
        <f t="shared" ref="R135:R198" si="30">P135*L135</f>
        <v>0</v>
      </c>
      <c r="S135" s="16" t="e">
        <f t="shared" si="26"/>
        <v>#DIV/0!</v>
      </c>
    </row>
    <row r="136" spans="1:19" ht="45" x14ac:dyDescent="0.25">
      <c r="A136" s="127"/>
      <c r="B136" s="98"/>
      <c r="C136" s="11" t="s">
        <v>148</v>
      </c>
      <c r="D136" s="12">
        <v>27.74</v>
      </c>
      <c r="E136" s="13">
        <v>51.75</v>
      </c>
      <c r="F136" s="13">
        <f t="shared" si="22"/>
        <v>1435.5449999999998</v>
      </c>
      <c r="G136" s="13">
        <v>48.67</v>
      </c>
      <c r="H136" s="13">
        <v>54.51</v>
      </c>
      <c r="I136" s="13">
        <f t="shared" si="27"/>
        <v>1350.1058</v>
      </c>
      <c r="J136" s="13">
        <f t="shared" si="28"/>
        <v>1512.1073999999999</v>
      </c>
      <c r="K136" s="14">
        <f t="shared" si="24"/>
        <v>105.33333333333333</v>
      </c>
      <c r="L136" s="12"/>
      <c r="M136" s="13"/>
      <c r="N136" s="13">
        <f t="shared" ref="N136:N199" si="31">L136*M136</f>
        <v>0</v>
      </c>
      <c r="O136" s="15"/>
      <c r="P136" s="15"/>
      <c r="Q136" s="15">
        <f t="shared" si="29"/>
        <v>0</v>
      </c>
      <c r="R136" s="15">
        <f t="shared" si="30"/>
        <v>0</v>
      </c>
      <c r="S136" s="16" t="e">
        <f t="shared" si="26"/>
        <v>#DIV/0!</v>
      </c>
    </row>
    <row r="137" spans="1:19" ht="120" x14ac:dyDescent="0.25">
      <c r="A137" s="127"/>
      <c r="B137" s="98"/>
      <c r="C137" s="11" t="s">
        <v>261</v>
      </c>
      <c r="D137" s="12">
        <v>153.83000000000001</v>
      </c>
      <c r="E137" s="13">
        <v>48.67</v>
      </c>
      <c r="F137" s="13">
        <f t="shared" si="22"/>
        <v>7486.9061000000011</v>
      </c>
      <c r="G137" s="13">
        <v>48.67</v>
      </c>
      <c r="H137" s="13">
        <v>54.51</v>
      </c>
      <c r="I137" s="13">
        <f t="shared" si="27"/>
        <v>7486.9061000000011</v>
      </c>
      <c r="J137" s="13">
        <f t="shared" si="28"/>
        <v>8385.2733000000007</v>
      </c>
      <c r="K137" s="14">
        <f t="shared" si="24"/>
        <v>111.99917813848366</v>
      </c>
      <c r="L137" s="12"/>
      <c r="M137" s="13"/>
      <c r="N137" s="13">
        <f t="shared" si="31"/>
        <v>0</v>
      </c>
      <c r="O137" s="15"/>
      <c r="P137" s="15"/>
      <c r="Q137" s="15">
        <f t="shared" si="29"/>
        <v>0</v>
      </c>
      <c r="R137" s="15">
        <f t="shared" si="30"/>
        <v>0</v>
      </c>
      <c r="S137" s="16" t="e">
        <f t="shared" si="26"/>
        <v>#DIV/0!</v>
      </c>
    </row>
    <row r="138" spans="1:19" ht="45" x14ac:dyDescent="0.25">
      <c r="A138" s="127"/>
      <c r="B138" s="98"/>
      <c r="C138" s="11" t="s">
        <v>151</v>
      </c>
      <c r="D138" s="12">
        <v>43.28</v>
      </c>
      <c r="E138" s="13">
        <v>48.67</v>
      </c>
      <c r="F138" s="13">
        <f t="shared" si="22"/>
        <v>2106.4376000000002</v>
      </c>
      <c r="G138" s="13">
        <v>48.67</v>
      </c>
      <c r="H138" s="13">
        <v>54.51</v>
      </c>
      <c r="I138" s="13">
        <f t="shared" si="27"/>
        <v>2106.4376000000002</v>
      </c>
      <c r="J138" s="13">
        <f t="shared" si="28"/>
        <v>2359.1927999999998</v>
      </c>
      <c r="K138" s="14">
        <f t="shared" si="24"/>
        <v>111.99917813848366</v>
      </c>
      <c r="L138" s="31">
        <v>1.42</v>
      </c>
      <c r="M138" s="13">
        <v>49.59</v>
      </c>
      <c r="N138" s="13">
        <f t="shared" si="31"/>
        <v>70.4178</v>
      </c>
      <c r="O138" s="15">
        <v>49.59</v>
      </c>
      <c r="P138" s="15">
        <v>55.79</v>
      </c>
      <c r="Q138" s="15">
        <f t="shared" si="29"/>
        <v>70.4178</v>
      </c>
      <c r="R138" s="15">
        <f t="shared" si="30"/>
        <v>79.221800000000002</v>
      </c>
      <c r="S138" s="32">
        <f t="shared" si="26"/>
        <v>112.50252066948983</v>
      </c>
    </row>
    <row r="139" spans="1:19" ht="75" x14ac:dyDescent="0.25">
      <c r="A139" s="127"/>
      <c r="B139" s="98"/>
      <c r="C139" s="11" t="s">
        <v>262</v>
      </c>
      <c r="D139" s="12">
        <v>69.349999999999994</v>
      </c>
      <c r="E139" s="13">
        <v>63.45</v>
      </c>
      <c r="F139" s="13">
        <f t="shared" si="22"/>
        <v>4400.2574999999997</v>
      </c>
      <c r="G139" s="13">
        <v>56.66</v>
      </c>
      <c r="H139" s="13">
        <v>56.66</v>
      </c>
      <c r="I139" s="13">
        <f t="shared" si="27"/>
        <v>3929.3709999999996</v>
      </c>
      <c r="J139" s="13">
        <f t="shared" si="28"/>
        <v>3929.3709999999996</v>
      </c>
      <c r="K139" s="14">
        <f t="shared" si="24"/>
        <v>89.298660362490139</v>
      </c>
      <c r="L139" s="12"/>
      <c r="M139" s="13"/>
      <c r="N139" s="13">
        <f t="shared" si="31"/>
        <v>0</v>
      </c>
      <c r="O139" s="15"/>
      <c r="P139" s="15"/>
      <c r="Q139" s="15">
        <f t="shared" si="29"/>
        <v>0</v>
      </c>
      <c r="R139" s="15">
        <f t="shared" si="30"/>
        <v>0</v>
      </c>
      <c r="S139" s="32"/>
    </row>
    <row r="140" spans="1:19" ht="45" x14ac:dyDescent="0.25">
      <c r="A140" s="126"/>
      <c r="B140" s="99"/>
      <c r="C140" s="11" t="s">
        <v>263</v>
      </c>
      <c r="D140" s="12">
        <v>24.61</v>
      </c>
      <c r="E140" s="13">
        <v>63.45</v>
      </c>
      <c r="F140" s="13">
        <f t="shared" si="22"/>
        <v>1561.5045</v>
      </c>
      <c r="G140" s="13">
        <v>56.66</v>
      </c>
      <c r="H140" s="13">
        <v>56.66</v>
      </c>
      <c r="I140" s="13">
        <f t="shared" si="27"/>
        <v>1394.4025999999999</v>
      </c>
      <c r="J140" s="13">
        <f t="shared" si="28"/>
        <v>1394.4025999999999</v>
      </c>
      <c r="K140" s="14">
        <f t="shared" si="24"/>
        <v>89.298660362490139</v>
      </c>
      <c r="L140" s="12"/>
      <c r="M140" s="13"/>
      <c r="N140" s="13">
        <f t="shared" si="31"/>
        <v>0</v>
      </c>
      <c r="O140" s="15"/>
      <c r="P140" s="15"/>
      <c r="Q140" s="15">
        <f t="shared" si="29"/>
        <v>0</v>
      </c>
      <c r="R140" s="15">
        <f t="shared" si="30"/>
        <v>0</v>
      </c>
      <c r="S140" s="32"/>
    </row>
    <row r="141" spans="1:19" ht="45" x14ac:dyDescent="0.25">
      <c r="A141" s="6">
        <v>41</v>
      </c>
      <c r="B141" s="10" t="s">
        <v>22</v>
      </c>
      <c r="C141" s="11" t="s">
        <v>167</v>
      </c>
      <c r="D141" s="12">
        <v>64.010000000000005</v>
      </c>
      <c r="E141" s="13">
        <v>19.93</v>
      </c>
      <c r="F141" s="13">
        <f t="shared" si="22"/>
        <v>1275.7193</v>
      </c>
      <c r="G141" s="13">
        <v>19.93</v>
      </c>
      <c r="H141" s="13">
        <v>22.66</v>
      </c>
      <c r="I141" s="13">
        <f t="shared" si="27"/>
        <v>1275.7193</v>
      </c>
      <c r="J141" s="13">
        <f t="shared" si="28"/>
        <v>1450.4666000000002</v>
      </c>
      <c r="K141" s="14">
        <f t="shared" si="24"/>
        <v>113.69794279979931</v>
      </c>
      <c r="L141" s="12">
        <v>71.66</v>
      </c>
      <c r="M141" s="13">
        <v>27.84</v>
      </c>
      <c r="N141" s="13">
        <f t="shared" si="31"/>
        <v>1995.0143999999998</v>
      </c>
      <c r="O141" s="15">
        <v>27.84</v>
      </c>
      <c r="P141" s="15">
        <v>31.67</v>
      </c>
      <c r="Q141" s="15">
        <f t="shared" si="29"/>
        <v>1995.0143999999998</v>
      </c>
      <c r="R141" s="15">
        <f t="shared" si="30"/>
        <v>2269.4722000000002</v>
      </c>
      <c r="S141" s="16">
        <f t="shared" ref="S141:S204" si="32">R141/Q141*100</f>
        <v>113.75718390804599</v>
      </c>
    </row>
    <row r="142" spans="1:19" ht="45" x14ac:dyDescent="0.25">
      <c r="A142" s="17"/>
      <c r="B142" s="18" t="s">
        <v>115</v>
      </c>
      <c r="C142" s="11" t="s">
        <v>60</v>
      </c>
      <c r="D142" s="12">
        <v>23.6</v>
      </c>
      <c r="E142" s="13">
        <v>49.88</v>
      </c>
      <c r="F142" s="13">
        <f t="shared" si="22"/>
        <v>1177.1680000000001</v>
      </c>
      <c r="G142" s="13">
        <v>49.88</v>
      </c>
      <c r="H142" s="13">
        <f>G142*1.07</f>
        <v>53.371600000000008</v>
      </c>
      <c r="I142" s="13">
        <f t="shared" si="27"/>
        <v>1177.1680000000001</v>
      </c>
      <c r="J142" s="13">
        <f t="shared" si="28"/>
        <v>1259.5697600000003</v>
      </c>
      <c r="K142" s="14">
        <f t="shared" si="24"/>
        <v>107</v>
      </c>
      <c r="L142" s="12"/>
      <c r="M142" s="13"/>
      <c r="N142" s="13">
        <f t="shared" si="31"/>
        <v>0</v>
      </c>
      <c r="O142" s="15"/>
      <c r="P142" s="15"/>
      <c r="Q142" s="15">
        <f t="shared" si="29"/>
        <v>0</v>
      </c>
      <c r="R142" s="15">
        <f t="shared" si="30"/>
        <v>0</v>
      </c>
      <c r="S142" s="16" t="e">
        <f t="shared" si="32"/>
        <v>#DIV/0!</v>
      </c>
    </row>
    <row r="143" spans="1:19" ht="45" x14ac:dyDescent="0.25">
      <c r="A143" s="22"/>
      <c r="B143" s="22"/>
      <c r="C143" s="11" t="s">
        <v>61</v>
      </c>
      <c r="D143" s="12">
        <v>11.84</v>
      </c>
      <c r="E143" s="13">
        <v>55</v>
      </c>
      <c r="F143" s="13">
        <f t="shared" si="22"/>
        <v>651.20000000000005</v>
      </c>
      <c r="G143" s="13">
        <v>55</v>
      </c>
      <c r="H143" s="13">
        <f t="shared" ref="H143:H151" si="33">G143*1.07</f>
        <v>58.85</v>
      </c>
      <c r="I143" s="13">
        <f t="shared" si="27"/>
        <v>651.20000000000005</v>
      </c>
      <c r="J143" s="13">
        <f t="shared" si="28"/>
        <v>696.78399999999999</v>
      </c>
      <c r="K143" s="14">
        <f t="shared" si="24"/>
        <v>107</v>
      </c>
      <c r="L143" s="12"/>
      <c r="M143" s="13"/>
      <c r="N143" s="13">
        <f t="shared" si="31"/>
        <v>0</v>
      </c>
      <c r="O143" s="15"/>
      <c r="P143" s="15"/>
      <c r="Q143" s="15">
        <f t="shared" si="29"/>
        <v>0</v>
      </c>
      <c r="R143" s="15">
        <f t="shared" si="30"/>
        <v>0</v>
      </c>
      <c r="S143" s="16" t="e">
        <f t="shared" si="32"/>
        <v>#DIV/0!</v>
      </c>
    </row>
    <row r="144" spans="1:19" ht="45" x14ac:dyDescent="0.25">
      <c r="A144" s="22"/>
      <c r="B144" s="22"/>
      <c r="C144" s="11" t="s">
        <v>62</v>
      </c>
      <c r="D144" s="12">
        <v>30.83</v>
      </c>
      <c r="E144" s="13">
        <v>40.25</v>
      </c>
      <c r="F144" s="13">
        <f t="shared" si="22"/>
        <v>1240.9075</v>
      </c>
      <c r="G144" s="13">
        <v>40.25</v>
      </c>
      <c r="H144" s="13">
        <f t="shared" si="33"/>
        <v>43.067500000000003</v>
      </c>
      <c r="I144" s="13">
        <f t="shared" si="27"/>
        <v>1240.9075</v>
      </c>
      <c r="J144" s="13">
        <f t="shared" si="28"/>
        <v>1327.771025</v>
      </c>
      <c r="K144" s="14">
        <f t="shared" si="24"/>
        <v>107</v>
      </c>
      <c r="L144" s="12"/>
      <c r="M144" s="13"/>
      <c r="N144" s="13">
        <f t="shared" si="31"/>
        <v>0</v>
      </c>
      <c r="O144" s="15"/>
      <c r="P144" s="15"/>
      <c r="Q144" s="15">
        <f t="shared" si="29"/>
        <v>0</v>
      </c>
      <c r="R144" s="15">
        <f t="shared" si="30"/>
        <v>0</v>
      </c>
      <c r="S144" s="16" t="e">
        <f t="shared" si="32"/>
        <v>#DIV/0!</v>
      </c>
    </row>
    <row r="145" spans="1:19" ht="45" x14ac:dyDescent="0.25">
      <c r="A145" s="22"/>
      <c r="B145" s="22"/>
      <c r="C145" s="11" t="s">
        <v>63</v>
      </c>
      <c r="D145" s="12">
        <v>21.2</v>
      </c>
      <c r="E145" s="13">
        <v>55.415359999999993</v>
      </c>
      <c r="F145" s="13">
        <f t="shared" si="22"/>
        <v>1174.8056319999998</v>
      </c>
      <c r="G145" s="13">
        <v>55.415359999999993</v>
      </c>
      <c r="H145" s="13">
        <f t="shared" si="33"/>
        <v>59.294435199999995</v>
      </c>
      <c r="I145" s="13">
        <f t="shared" si="27"/>
        <v>1174.8056319999998</v>
      </c>
      <c r="J145" s="13">
        <f t="shared" si="28"/>
        <v>1257.0420262399998</v>
      </c>
      <c r="K145" s="14">
        <f t="shared" si="24"/>
        <v>107</v>
      </c>
      <c r="L145" s="12"/>
      <c r="M145" s="13"/>
      <c r="N145" s="13">
        <f t="shared" si="31"/>
        <v>0</v>
      </c>
      <c r="O145" s="15"/>
      <c r="P145" s="15"/>
      <c r="Q145" s="15">
        <f t="shared" si="29"/>
        <v>0</v>
      </c>
      <c r="R145" s="15">
        <f t="shared" si="30"/>
        <v>0</v>
      </c>
      <c r="S145" s="16" t="e">
        <f t="shared" si="32"/>
        <v>#DIV/0!</v>
      </c>
    </row>
    <row r="146" spans="1:19" ht="30" x14ac:dyDescent="0.25">
      <c r="A146" s="22"/>
      <c r="B146" s="22"/>
      <c r="C146" s="11" t="s">
        <v>35</v>
      </c>
      <c r="D146" s="12">
        <v>12.52</v>
      </c>
      <c r="E146" s="13">
        <v>54.89</v>
      </c>
      <c r="F146" s="13">
        <f t="shared" si="22"/>
        <v>687.22280000000001</v>
      </c>
      <c r="G146" s="13">
        <v>54.89</v>
      </c>
      <c r="H146" s="13">
        <f t="shared" si="33"/>
        <v>58.732300000000002</v>
      </c>
      <c r="I146" s="13">
        <f t="shared" si="27"/>
        <v>687.22280000000001</v>
      </c>
      <c r="J146" s="13">
        <f t="shared" si="28"/>
        <v>735.328396</v>
      </c>
      <c r="K146" s="14">
        <f t="shared" si="24"/>
        <v>107</v>
      </c>
      <c r="L146" s="12">
        <v>7.68</v>
      </c>
      <c r="M146" s="13">
        <v>51.95</v>
      </c>
      <c r="N146" s="13">
        <f>L146*M146</f>
        <v>398.976</v>
      </c>
      <c r="O146" s="15">
        <v>51.95</v>
      </c>
      <c r="P146" s="15">
        <f>O146*1.07</f>
        <v>55.586500000000008</v>
      </c>
      <c r="Q146" s="15">
        <f t="shared" si="29"/>
        <v>398.976</v>
      </c>
      <c r="R146" s="15">
        <f t="shared" si="30"/>
        <v>426.90432000000004</v>
      </c>
      <c r="S146" s="16">
        <f t="shared" si="32"/>
        <v>107</v>
      </c>
    </row>
    <row r="147" spans="1:19" ht="45" x14ac:dyDescent="0.25">
      <c r="A147" s="22"/>
      <c r="B147" s="22"/>
      <c r="C147" s="11" t="s">
        <v>124</v>
      </c>
      <c r="D147" s="12">
        <f>11.03+4.57</f>
        <v>15.6</v>
      </c>
      <c r="E147" s="13">
        <v>63.32</v>
      </c>
      <c r="F147" s="13">
        <f t="shared" si="22"/>
        <v>987.79200000000003</v>
      </c>
      <c r="G147" s="13">
        <v>63.32</v>
      </c>
      <c r="H147" s="13">
        <f t="shared" si="33"/>
        <v>67.752400000000009</v>
      </c>
      <c r="I147" s="13">
        <f t="shared" si="27"/>
        <v>987.79200000000003</v>
      </c>
      <c r="J147" s="13">
        <f t="shared" si="28"/>
        <v>1056.9374400000002</v>
      </c>
      <c r="K147" s="14">
        <f t="shared" si="24"/>
        <v>107</v>
      </c>
      <c r="L147" s="12"/>
      <c r="M147" s="13"/>
      <c r="N147" s="13">
        <f t="shared" si="31"/>
        <v>0</v>
      </c>
      <c r="O147" s="15"/>
      <c r="P147" s="15"/>
      <c r="Q147" s="15">
        <f t="shared" si="29"/>
        <v>0</v>
      </c>
      <c r="R147" s="15">
        <f t="shared" si="30"/>
        <v>0</v>
      </c>
      <c r="S147" s="16" t="e">
        <f t="shared" si="32"/>
        <v>#DIV/0!</v>
      </c>
    </row>
    <row r="148" spans="1:19" ht="30" x14ac:dyDescent="0.25">
      <c r="A148" s="22"/>
      <c r="B148" s="22"/>
      <c r="C148" s="11" t="s">
        <v>64</v>
      </c>
      <c r="D148" s="12">
        <v>51.8</v>
      </c>
      <c r="E148" s="13">
        <v>28.748719999999995</v>
      </c>
      <c r="F148" s="13">
        <f t="shared" si="22"/>
        <v>1489.1836959999996</v>
      </c>
      <c r="G148" s="13">
        <v>28.748719999999995</v>
      </c>
      <c r="H148" s="13">
        <f t="shared" si="33"/>
        <v>30.761130399999995</v>
      </c>
      <c r="I148" s="13">
        <f t="shared" si="27"/>
        <v>1489.1836959999996</v>
      </c>
      <c r="J148" s="13">
        <f t="shared" si="28"/>
        <v>1593.4265547199998</v>
      </c>
      <c r="K148" s="14">
        <f t="shared" si="24"/>
        <v>107</v>
      </c>
      <c r="L148" s="12"/>
      <c r="M148" s="13"/>
      <c r="N148" s="13">
        <f t="shared" si="31"/>
        <v>0</v>
      </c>
      <c r="O148" s="15"/>
      <c r="P148" s="15"/>
      <c r="Q148" s="15">
        <f t="shared" si="29"/>
        <v>0</v>
      </c>
      <c r="R148" s="15">
        <f t="shared" si="30"/>
        <v>0</v>
      </c>
      <c r="S148" s="16" t="e">
        <f t="shared" si="32"/>
        <v>#DIV/0!</v>
      </c>
    </row>
    <row r="149" spans="1:19" ht="30" x14ac:dyDescent="0.25">
      <c r="A149" s="22"/>
      <c r="B149" s="22"/>
      <c r="C149" s="11" t="s">
        <v>214</v>
      </c>
      <c r="D149" s="12">
        <v>17.21</v>
      </c>
      <c r="E149" s="13">
        <v>45.851519999999994</v>
      </c>
      <c r="F149" s="13">
        <f t="shared" si="22"/>
        <v>789.1046591999999</v>
      </c>
      <c r="G149" s="13">
        <v>45.851519999999994</v>
      </c>
      <c r="H149" s="13">
        <f t="shared" si="33"/>
        <v>49.061126399999999</v>
      </c>
      <c r="I149" s="13">
        <f t="shared" si="27"/>
        <v>789.1046591999999</v>
      </c>
      <c r="J149" s="13">
        <f t="shared" si="28"/>
        <v>844.34198534400002</v>
      </c>
      <c r="K149" s="14">
        <f t="shared" si="24"/>
        <v>107</v>
      </c>
      <c r="L149" s="12"/>
      <c r="M149" s="13"/>
      <c r="N149" s="13">
        <f t="shared" si="31"/>
        <v>0</v>
      </c>
      <c r="O149" s="15"/>
      <c r="P149" s="15"/>
      <c r="Q149" s="15">
        <f t="shared" si="29"/>
        <v>0</v>
      </c>
      <c r="R149" s="15">
        <f t="shared" si="30"/>
        <v>0</v>
      </c>
      <c r="S149" s="16" t="e">
        <f t="shared" si="32"/>
        <v>#DIV/0!</v>
      </c>
    </row>
    <row r="150" spans="1:19" ht="45" x14ac:dyDescent="0.25">
      <c r="A150" s="22"/>
      <c r="B150" s="22"/>
      <c r="C150" s="11" t="s">
        <v>203</v>
      </c>
      <c r="D150" s="12">
        <v>15.53</v>
      </c>
      <c r="E150" s="13">
        <v>61.45</v>
      </c>
      <c r="F150" s="13">
        <f t="shared" si="22"/>
        <v>954.31849999999997</v>
      </c>
      <c r="G150" s="13">
        <v>61.45</v>
      </c>
      <c r="H150" s="13">
        <f t="shared" si="33"/>
        <v>65.751500000000007</v>
      </c>
      <c r="I150" s="13">
        <f t="shared" si="27"/>
        <v>954.31849999999997</v>
      </c>
      <c r="J150" s="13">
        <f t="shared" si="28"/>
        <v>1021.120795</v>
      </c>
      <c r="K150" s="14">
        <f t="shared" si="24"/>
        <v>107</v>
      </c>
      <c r="L150" s="12"/>
      <c r="M150" s="13"/>
      <c r="N150" s="13">
        <f t="shared" si="31"/>
        <v>0</v>
      </c>
      <c r="O150" s="15"/>
      <c r="P150" s="15"/>
      <c r="Q150" s="15">
        <f t="shared" si="29"/>
        <v>0</v>
      </c>
      <c r="R150" s="15">
        <f t="shared" si="30"/>
        <v>0</v>
      </c>
      <c r="S150" s="16" t="e">
        <f t="shared" si="32"/>
        <v>#DIV/0!</v>
      </c>
    </row>
    <row r="151" spans="1:19" ht="75" x14ac:dyDescent="0.25">
      <c r="A151" s="19"/>
      <c r="B151" s="19"/>
      <c r="C151" s="11" t="s">
        <v>254</v>
      </c>
      <c r="D151" s="12">
        <v>182.64</v>
      </c>
      <c r="E151" s="13">
        <v>53.6</v>
      </c>
      <c r="F151" s="13">
        <f t="shared" si="22"/>
        <v>9789.503999999999</v>
      </c>
      <c r="G151" s="13">
        <v>53.6</v>
      </c>
      <c r="H151" s="13">
        <f t="shared" si="33"/>
        <v>57.352000000000004</v>
      </c>
      <c r="I151" s="13">
        <f t="shared" si="27"/>
        <v>9789.503999999999</v>
      </c>
      <c r="J151" s="13">
        <f t="shared" si="28"/>
        <v>10474.76928</v>
      </c>
      <c r="K151" s="14">
        <f t="shared" si="24"/>
        <v>107</v>
      </c>
      <c r="L151" s="12">
        <v>24.84</v>
      </c>
      <c r="M151" s="13">
        <v>44.12</v>
      </c>
      <c r="N151" s="13">
        <f t="shared" si="31"/>
        <v>1095.9407999999999</v>
      </c>
      <c r="O151" s="15">
        <v>44.12</v>
      </c>
      <c r="P151" s="15">
        <v>38.06</v>
      </c>
      <c r="Q151" s="15">
        <f t="shared" si="29"/>
        <v>1095.9407999999999</v>
      </c>
      <c r="R151" s="15">
        <f t="shared" si="30"/>
        <v>945.4104000000001</v>
      </c>
      <c r="S151" s="16">
        <f t="shared" si="32"/>
        <v>86.264732547597475</v>
      </c>
    </row>
    <row r="152" spans="1:19" ht="105" x14ac:dyDescent="0.25">
      <c r="A152" s="2">
        <v>44</v>
      </c>
      <c r="B152" s="10" t="s">
        <v>116</v>
      </c>
      <c r="C152" s="11" t="s">
        <v>145</v>
      </c>
      <c r="D152" s="12">
        <v>319.85000000000002</v>
      </c>
      <c r="E152" s="13">
        <v>48.26</v>
      </c>
      <c r="F152" s="13">
        <f t="shared" si="22"/>
        <v>15435.961000000001</v>
      </c>
      <c r="G152" s="13">
        <v>48.26</v>
      </c>
      <c r="H152" s="13">
        <v>54.24</v>
      </c>
      <c r="I152" s="13">
        <f t="shared" si="27"/>
        <v>15435.961000000001</v>
      </c>
      <c r="J152" s="13">
        <f t="shared" si="28"/>
        <v>17348.664000000001</v>
      </c>
      <c r="K152" s="14">
        <f t="shared" si="24"/>
        <v>112.39121425611273</v>
      </c>
      <c r="L152" s="12"/>
      <c r="M152" s="13"/>
      <c r="N152" s="13">
        <f t="shared" si="31"/>
        <v>0</v>
      </c>
      <c r="O152" s="15"/>
      <c r="P152" s="15"/>
      <c r="Q152" s="15">
        <f t="shared" si="29"/>
        <v>0</v>
      </c>
      <c r="R152" s="15">
        <f t="shared" si="30"/>
        <v>0</v>
      </c>
      <c r="S152" s="16" t="e">
        <f t="shared" si="32"/>
        <v>#DIV/0!</v>
      </c>
    </row>
    <row r="153" spans="1:19" ht="255" x14ac:dyDescent="0.25">
      <c r="A153" s="2">
        <v>48</v>
      </c>
      <c r="B153" s="10" t="s">
        <v>213</v>
      </c>
      <c r="C153" s="11" t="s">
        <v>257</v>
      </c>
      <c r="D153" s="12">
        <v>398.67</v>
      </c>
      <c r="E153" s="13">
        <v>55.21</v>
      </c>
      <c r="F153" s="13">
        <f t="shared" si="22"/>
        <v>22010.5707</v>
      </c>
      <c r="G153" s="13">
        <v>55.21</v>
      </c>
      <c r="H153" s="13">
        <v>61.17</v>
      </c>
      <c r="I153" s="13">
        <f t="shared" si="27"/>
        <v>22010.5707</v>
      </c>
      <c r="J153" s="13">
        <f t="shared" si="28"/>
        <v>24386.643900000003</v>
      </c>
      <c r="K153" s="14">
        <f t="shared" si="24"/>
        <v>110.79514580691905</v>
      </c>
      <c r="L153" s="12"/>
      <c r="M153" s="13"/>
      <c r="N153" s="13">
        <f t="shared" si="31"/>
        <v>0</v>
      </c>
      <c r="O153" s="15"/>
      <c r="P153" s="15"/>
      <c r="Q153" s="15">
        <f t="shared" si="29"/>
        <v>0</v>
      </c>
      <c r="R153" s="15">
        <f t="shared" si="30"/>
        <v>0</v>
      </c>
      <c r="S153" s="16" t="e">
        <f t="shared" si="32"/>
        <v>#DIV/0!</v>
      </c>
    </row>
    <row r="154" spans="1:19" ht="135" x14ac:dyDescent="0.25">
      <c r="A154" s="2">
        <v>49</v>
      </c>
      <c r="B154" s="10" t="s">
        <v>23</v>
      </c>
      <c r="C154" s="11" t="s">
        <v>172</v>
      </c>
      <c r="D154" s="12">
        <v>58.1</v>
      </c>
      <c r="E154" s="13">
        <v>57.34</v>
      </c>
      <c r="F154" s="13">
        <f t="shared" si="22"/>
        <v>3331.4540000000002</v>
      </c>
      <c r="G154" s="13">
        <v>57.34</v>
      </c>
      <c r="H154" s="13">
        <v>60.16</v>
      </c>
      <c r="I154" s="13">
        <f t="shared" si="27"/>
        <v>3331.4540000000002</v>
      </c>
      <c r="J154" s="13">
        <f t="shared" si="28"/>
        <v>3495.2959999999998</v>
      </c>
      <c r="K154" s="14">
        <f t="shared" si="24"/>
        <v>104.91803278688523</v>
      </c>
      <c r="L154" s="12"/>
      <c r="M154" s="13"/>
      <c r="N154" s="13">
        <f t="shared" si="31"/>
        <v>0</v>
      </c>
      <c r="O154" s="15"/>
      <c r="P154" s="15"/>
      <c r="Q154" s="15">
        <f t="shared" si="29"/>
        <v>0</v>
      </c>
      <c r="R154" s="15">
        <f t="shared" si="30"/>
        <v>0</v>
      </c>
      <c r="S154" s="16" t="e">
        <f t="shared" si="32"/>
        <v>#DIV/0!</v>
      </c>
    </row>
    <row r="155" spans="1:19" ht="45" x14ac:dyDescent="0.25">
      <c r="A155" s="2"/>
      <c r="B155" s="10" t="s">
        <v>115</v>
      </c>
      <c r="C155" s="11" t="s">
        <v>231</v>
      </c>
      <c r="D155" s="12">
        <v>107.59</v>
      </c>
      <c r="E155" s="13">
        <v>46.94</v>
      </c>
      <c r="F155" s="13">
        <f t="shared" ref="F155:F216" si="34">D155*E155</f>
        <v>5050.2745999999997</v>
      </c>
      <c r="G155" s="13">
        <v>46.94</v>
      </c>
      <c r="H155" s="13">
        <f>G155*1.07</f>
        <v>50.2258</v>
      </c>
      <c r="I155" s="13">
        <f t="shared" si="27"/>
        <v>5050.2745999999997</v>
      </c>
      <c r="J155" s="13">
        <f t="shared" si="28"/>
        <v>5403.7938220000005</v>
      </c>
      <c r="K155" s="14">
        <f t="shared" si="24"/>
        <v>107</v>
      </c>
      <c r="L155" s="12">
        <v>22.23</v>
      </c>
      <c r="M155" s="13">
        <v>80.3292</v>
      </c>
      <c r="N155" s="13">
        <f t="shared" si="31"/>
        <v>1785.718116</v>
      </c>
      <c r="O155" s="15">
        <v>80.3292</v>
      </c>
      <c r="P155" s="15">
        <f>O155*1.07</f>
        <v>85.952244000000007</v>
      </c>
      <c r="Q155" s="15">
        <f t="shared" si="29"/>
        <v>1785.718116</v>
      </c>
      <c r="R155" s="15">
        <f t="shared" si="30"/>
        <v>1910.7183841200001</v>
      </c>
      <c r="S155" s="16">
        <f t="shared" si="32"/>
        <v>107</v>
      </c>
    </row>
    <row r="156" spans="1:19" ht="45" x14ac:dyDescent="0.25">
      <c r="A156" s="2">
        <v>51</v>
      </c>
      <c r="B156" s="10" t="s">
        <v>219</v>
      </c>
      <c r="C156" s="11" t="s">
        <v>36</v>
      </c>
      <c r="D156" s="12">
        <v>115.38</v>
      </c>
      <c r="E156" s="13">
        <v>41.58</v>
      </c>
      <c r="F156" s="13">
        <f t="shared" si="34"/>
        <v>4797.5003999999999</v>
      </c>
      <c r="G156" s="13">
        <v>41.58</v>
      </c>
      <c r="H156" s="13">
        <f>46.65</f>
        <v>46.65</v>
      </c>
      <c r="I156" s="13">
        <f t="shared" si="27"/>
        <v>4797.5003999999999</v>
      </c>
      <c r="J156" s="13">
        <f t="shared" si="28"/>
        <v>5382.4769999999999</v>
      </c>
      <c r="K156" s="14">
        <f t="shared" si="24"/>
        <v>112.1933621933622</v>
      </c>
      <c r="L156" s="12">
        <v>46.82</v>
      </c>
      <c r="M156" s="13">
        <v>50.27</v>
      </c>
      <c r="N156" s="13">
        <f t="shared" si="31"/>
        <v>2353.6414</v>
      </c>
      <c r="O156" s="15">
        <v>50.27</v>
      </c>
      <c r="P156" s="15">
        <f>56.5</f>
        <v>56.5</v>
      </c>
      <c r="Q156" s="15">
        <f t="shared" si="29"/>
        <v>2353.6414</v>
      </c>
      <c r="R156" s="15">
        <f t="shared" si="30"/>
        <v>2645.33</v>
      </c>
      <c r="S156" s="16">
        <f t="shared" si="32"/>
        <v>112.39307738213647</v>
      </c>
    </row>
    <row r="157" spans="1:19" ht="105" x14ac:dyDescent="0.25">
      <c r="A157" s="2"/>
      <c r="B157" s="10" t="s">
        <v>114</v>
      </c>
      <c r="C157" s="11" t="s">
        <v>288</v>
      </c>
      <c r="D157" s="12">
        <v>56.29</v>
      </c>
      <c r="E157" s="13">
        <v>51.51</v>
      </c>
      <c r="F157" s="13">
        <f t="shared" si="34"/>
        <v>2899.4978999999998</v>
      </c>
      <c r="G157" s="13">
        <v>51.29</v>
      </c>
      <c r="H157" s="13">
        <f>51.29</f>
        <v>51.29</v>
      </c>
      <c r="I157" s="13">
        <f>G157*D157</f>
        <v>2887.1140999999998</v>
      </c>
      <c r="J157" s="13">
        <f t="shared" si="28"/>
        <v>2887.1140999999998</v>
      </c>
      <c r="K157" s="14">
        <f t="shared" si="24"/>
        <v>99.572898466317213</v>
      </c>
      <c r="L157" s="12"/>
      <c r="M157" s="13"/>
      <c r="N157" s="13">
        <f t="shared" si="31"/>
        <v>0</v>
      </c>
      <c r="O157" s="15"/>
      <c r="P157" s="15"/>
      <c r="Q157" s="15">
        <f t="shared" si="29"/>
        <v>0</v>
      </c>
      <c r="R157" s="15">
        <f t="shared" si="30"/>
        <v>0</v>
      </c>
      <c r="S157" s="16" t="e">
        <f t="shared" si="32"/>
        <v>#DIV/0!</v>
      </c>
    </row>
    <row r="158" spans="1:19" ht="45" x14ac:dyDescent="0.25">
      <c r="A158" s="2"/>
      <c r="B158" s="10"/>
      <c r="C158" s="11" t="s">
        <v>287</v>
      </c>
      <c r="D158" s="12">
        <v>18.510000000000002</v>
      </c>
      <c r="E158" s="13">
        <v>39.28</v>
      </c>
      <c r="F158" s="13">
        <f t="shared" si="34"/>
        <v>727.07280000000003</v>
      </c>
      <c r="G158" s="13">
        <v>39.28</v>
      </c>
      <c r="H158" s="13">
        <v>44.34</v>
      </c>
      <c r="I158" s="13">
        <f>G158*D158</f>
        <v>727.07280000000003</v>
      </c>
      <c r="J158" s="13">
        <f t="shared" si="28"/>
        <v>820.73340000000019</v>
      </c>
      <c r="K158" s="14">
        <f t="shared" si="24"/>
        <v>112.88187372708758</v>
      </c>
      <c r="L158" s="12"/>
      <c r="M158" s="13"/>
      <c r="N158" s="13"/>
      <c r="O158" s="15"/>
      <c r="P158" s="15"/>
      <c r="Q158" s="15"/>
      <c r="R158" s="15"/>
      <c r="S158" s="16"/>
    </row>
    <row r="159" spans="1:19" ht="45" x14ac:dyDescent="0.25">
      <c r="A159" s="2">
        <v>52</v>
      </c>
      <c r="B159" s="10"/>
      <c r="C159" s="11" t="s">
        <v>173</v>
      </c>
      <c r="D159" s="12">
        <v>40.9</v>
      </c>
      <c r="E159" s="13">
        <v>41.17</v>
      </c>
      <c r="F159" s="13">
        <f t="shared" si="34"/>
        <v>1683.8530000000001</v>
      </c>
      <c r="G159" s="13">
        <v>29.24</v>
      </c>
      <c r="H159" s="13">
        <f>29.24</f>
        <v>29.24</v>
      </c>
      <c r="I159" s="13">
        <f t="shared" si="27"/>
        <v>1195.9159999999999</v>
      </c>
      <c r="J159" s="13">
        <f t="shared" si="28"/>
        <v>1195.9159999999999</v>
      </c>
      <c r="K159" s="14">
        <f t="shared" si="24"/>
        <v>71.022589264027204</v>
      </c>
      <c r="L159" s="12">
        <v>10</v>
      </c>
      <c r="M159" s="13">
        <v>20.04</v>
      </c>
      <c r="N159" s="13">
        <f t="shared" si="31"/>
        <v>200.39999999999998</v>
      </c>
      <c r="O159" s="15">
        <v>10.27</v>
      </c>
      <c r="P159" s="15">
        <v>10.27</v>
      </c>
      <c r="Q159" s="15">
        <f t="shared" si="29"/>
        <v>102.69999999999999</v>
      </c>
      <c r="R159" s="15">
        <f t="shared" si="30"/>
        <v>102.69999999999999</v>
      </c>
      <c r="S159" s="16">
        <f t="shared" si="32"/>
        <v>100</v>
      </c>
    </row>
    <row r="160" spans="1:19" ht="75" x14ac:dyDescent="0.25">
      <c r="A160" s="2">
        <v>53</v>
      </c>
      <c r="B160" s="10" t="s">
        <v>24</v>
      </c>
      <c r="C160" s="11" t="s">
        <v>152</v>
      </c>
      <c r="D160" s="12">
        <v>110.9</v>
      </c>
      <c r="E160" s="13">
        <v>46.16</v>
      </c>
      <c r="F160" s="13">
        <f t="shared" si="34"/>
        <v>5119.1440000000002</v>
      </c>
      <c r="G160" s="13">
        <v>46.16</v>
      </c>
      <c r="H160" s="13">
        <v>48.79</v>
      </c>
      <c r="I160" s="13">
        <f t="shared" si="27"/>
        <v>5119.1440000000002</v>
      </c>
      <c r="J160" s="13">
        <f t="shared" si="28"/>
        <v>5410.8110000000006</v>
      </c>
      <c r="K160" s="14">
        <f t="shared" si="24"/>
        <v>105.69757365684576</v>
      </c>
      <c r="L160" s="12">
        <v>25.3</v>
      </c>
      <c r="M160" s="13">
        <v>60.74</v>
      </c>
      <c r="N160" s="13">
        <f t="shared" si="31"/>
        <v>1536.722</v>
      </c>
      <c r="O160" s="15">
        <v>60.74</v>
      </c>
      <c r="P160" s="15">
        <v>65.64</v>
      </c>
      <c r="Q160" s="15">
        <f t="shared" si="29"/>
        <v>1536.722</v>
      </c>
      <c r="R160" s="15">
        <f t="shared" si="30"/>
        <v>1660.692</v>
      </c>
      <c r="S160" s="16">
        <f t="shared" si="32"/>
        <v>108.06717155087257</v>
      </c>
    </row>
    <row r="161" spans="1:19" ht="45" x14ac:dyDescent="0.25">
      <c r="A161" s="17">
        <v>54</v>
      </c>
      <c r="B161" s="18" t="s">
        <v>115</v>
      </c>
      <c r="C161" s="11" t="s">
        <v>255</v>
      </c>
      <c r="D161" s="12">
        <v>16.23</v>
      </c>
      <c r="E161" s="13">
        <v>46.61</v>
      </c>
      <c r="F161" s="13">
        <f t="shared" si="34"/>
        <v>756.48030000000006</v>
      </c>
      <c r="G161" s="13">
        <v>46.61</v>
      </c>
      <c r="H161" s="13">
        <f>G161*1.07</f>
        <v>49.872700000000002</v>
      </c>
      <c r="I161" s="13">
        <f t="shared" si="27"/>
        <v>756.48030000000006</v>
      </c>
      <c r="J161" s="13">
        <f t="shared" si="28"/>
        <v>809.43392100000005</v>
      </c>
      <c r="K161" s="14">
        <f t="shared" si="24"/>
        <v>107</v>
      </c>
      <c r="L161" s="12"/>
      <c r="M161" s="13"/>
      <c r="N161" s="13">
        <f t="shared" si="31"/>
        <v>0</v>
      </c>
      <c r="O161" s="15"/>
      <c r="P161" s="15"/>
      <c r="Q161" s="15">
        <f t="shared" si="29"/>
        <v>0</v>
      </c>
      <c r="R161" s="15">
        <f t="shared" si="30"/>
        <v>0</v>
      </c>
      <c r="S161" s="16" t="e">
        <f t="shared" si="32"/>
        <v>#DIV/0!</v>
      </c>
    </row>
    <row r="162" spans="1:19" ht="30" x14ac:dyDescent="0.25">
      <c r="A162" s="22"/>
      <c r="B162" s="22"/>
      <c r="C162" s="11" t="s">
        <v>112</v>
      </c>
      <c r="D162" s="12">
        <v>20.7</v>
      </c>
      <c r="E162" s="13">
        <v>45.2</v>
      </c>
      <c r="F162" s="13">
        <f t="shared" si="34"/>
        <v>935.64</v>
      </c>
      <c r="G162" s="13">
        <v>45.2</v>
      </c>
      <c r="H162" s="13">
        <f t="shared" ref="H162:H168" si="35">G162*1.07</f>
        <v>48.364000000000004</v>
      </c>
      <c r="I162" s="13">
        <f t="shared" si="27"/>
        <v>935.64</v>
      </c>
      <c r="J162" s="13">
        <f t="shared" si="28"/>
        <v>1001.1348</v>
      </c>
      <c r="K162" s="14">
        <f t="shared" si="24"/>
        <v>107</v>
      </c>
      <c r="L162" s="12"/>
      <c r="M162" s="13"/>
      <c r="N162" s="13">
        <f t="shared" si="31"/>
        <v>0</v>
      </c>
      <c r="O162" s="15"/>
      <c r="P162" s="15"/>
      <c r="Q162" s="15">
        <f t="shared" si="29"/>
        <v>0</v>
      </c>
      <c r="R162" s="15">
        <f t="shared" si="30"/>
        <v>0</v>
      </c>
      <c r="S162" s="16" t="e">
        <f t="shared" si="32"/>
        <v>#DIV/0!</v>
      </c>
    </row>
    <row r="163" spans="1:19" ht="30" x14ac:dyDescent="0.25">
      <c r="A163" s="22"/>
      <c r="B163" s="22"/>
      <c r="C163" s="11" t="s">
        <v>113</v>
      </c>
      <c r="D163" s="12">
        <v>28.35</v>
      </c>
      <c r="E163" s="13">
        <v>45.2</v>
      </c>
      <c r="F163" s="13">
        <f t="shared" si="34"/>
        <v>1281.42</v>
      </c>
      <c r="G163" s="13">
        <v>45.2</v>
      </c>
      <c r="H163" s="13">
        <f t="shared" si="35"/>
        <v>48.364000000000004</v>
      </c>
      <c r="I163" s="13">
        <f t="shared" si="27"/>
        <v>1281.42</v>
      </c>
      <c r="J163" s="13">
        <f t="shared" si="28"/>
        <v>1371.1194000000003</v>
      </c>
      <c r="K163" s="14">
        <f t="shared" si="24"/>
        <v>107</v>
      </c>
      <c r="L163" s="12"/>
      <c r="M163" s="13"/>
      <c r="N163" s="13">
        <f t="shared" si="31"/>
        <v>0</v>
      </c>
      <c r="O163" s="15"/>
      <c r="P163" s="15"/>
      <c r="Q163" s="15">
        <f t="shared" si="29"/>
        <v>0</v>
      </c>
      <c r="R163" s="15">
        <f t="shared" si="30"/>
        <v>0</v>
      </c>
      <c r="S163" s="16" t="e">
        <f t="shared" si="32"/>
        <v>#DIV/0!</v>
      </c>
    </row>
    <row r="164" spans="1:19" ht="30" x14ac:dyDescent="0.25">
      <c r="A164" s="22"/>
      <c r="B164" s="22"/>
      <c r="C164" s="11" t="s">
        <v>110</v>
      </c>
      <c r="D164" s="12">
        <v>20.41</v>
      </c>
      <c r="E164" s="13">
        <v>42.6</v>
      </c>
      <c r="F164" s="13">
        <f t="shared" si="34"/>
        <v>869.46600000000001</v>
      </c>
      <c r="G164" s="13">
        <v>42.6</v>
      </c>
      <c r="H164" s="13">
        <f t="shared" si="35"/>
        <v>45.582000000000001</v>
      </c>
      <c r="I164" s="13">
        <f t="shared" si="27"/>
        <v>869.46600000000001</v>
      </c>
      <c r="J164" s="13">
        <f t="shared" si="28"/>
        <v>930.32862</v>
      </c>
      <c r="K164" s="14">
        <f t="shared" ref="K164:K168" si="36">H164/E164*100</f>
        <v>107</v>
      </c>
      <c r="L164" s="12"/>
      <c r="M164" s="13"/>
      <c r="N164" s="13">
        <f t="shared" si="31"/>
        <v>0</v>
      </c>
      <c r="O164" s="15"/>
      <c r="P164" s="15"/>
      <c r="Q164" s="15">
        <f t="shared" si="29"/>
        <v>0</v>
      </c>
      <c r="R164" s="15">
        <f t="shared" si="30"/>
        <v>0</v>
      </c>
      <c r="S164" s="16" t="e">
        <f t="shared" si="32"/>
        <v>#DIV/0!</v>
      </c>
    </row>
    <row r="165" spans="1:19" ht="30" x14ac:dyDescent="0.25">
      <c r="A165" s="22"/>
      <c r="B165" s="22"/>
      <c r="C165" s="11" t="s">
        <v>53</v>
      </c>
      <c r="D165" s="12">
        <v>36.92</v>
      </c>
      <c r="E165" s="13">
        <v>45.2</v>
      </c>
      <c r="F165" s="13">
        <f t="shared" si="34"/>
        <v>1668.7840000000001</v>
      </c>
      <c r="G165" s="13">
        <v>45.2</v>
      </c>
      <c r="H165" s="13">
        <f t="shared" si="35"/>
        <v>48.364000000000004</v>
      </c>
      <c r="I165" s="13">
        <f t="shared" si="27"/>
        <v>1668.7840000000001</v>
      </c>
      <c r="J165" s="13">
        <f t="shared" si="28"/>
        <v>1785.5988800000002</v>
      </c>
      <c r="K165" s="14">
        <f t="shared" si="36"/>
        <v>107</v>
      </c>
      <c r="L165" s="12">
        <v>29.16</v>
      </c>
      <c r="M165" s="13">
        <v>22.79</v>
      </c>
      <c r="N165" s="13">
        <f t="shared" si="31"/>
        <v>664.55639999999994</v>
      </c>
      <c r="O165" s="15">
        <v>22.79</v>
      </c>
      <c r="P165" s="15">
        <f>O165*1.07</f>
        <v>24.385300000000001</v>
      </c>
      <c r="Q165" s="15">
        <f t="shared" si="29"/>
        <v>664.55639999999994</v>
      </c>
      <c r="R165" s="15">
        <f t="shared" si="30"/>
        <v>711.07534800000008</v>
      </c>
      <c r="S165" s="16">
        <f t="shared" si="32"/>
        <v>107.00000000000003</v>
      </c>
    </row>
    <row r="166" spans="1:19" ht="30" x14ac:dyDescent="0.25">
      <c r="A166" s="22"/>
      <c r="B166" s="22"/>
      <c r="C166" s="11" t="s">
        <v>111</v>
      </c>
      <c r="D166" s="12">
        <v>34.74</v>
      </c>
      <c r="E166" s="13">
        <v>43.74</v>
      </c>
      <c r="F166" s="13">
        <f t="shared" si="34"/>
        <v>1519.5276000000001</v>
      </c>
      <c r="G166" s="13">
        <v>43.74</v>
      </c>
      <c r="H166" s="13">
        <f t="shared" si="35"/>
        <v>46.801800000000007</v>
      </c>
      <c r="I166" s="13">
        <f t="shared" si="27"/>
        <v>1519.5276000000001</v>
      </c>
      <c r="J166" s="13">
        <f t="shared" si="28"/>
        <v>1625.8945320000003</v>
      </c>
      <c r="K166" s="14">
        <f t="shared" si="36"/>
        <v>107</v>
      </c>
      <c r="L166" s="12"/>
      <c r="M166" s="13"/>
      <c r="N166" s="13">
        <f t="shared" si="31"/>
        <v>0</v>
      </c>
      <c r="O166" s="15"/>
      <c r="P166" s="15"/>
      <c r="Q166" s="15">
        <f t="shared" si="29"/>
        <v>0</v>
      </c>
      <c r="R166" s="15">
        <f t="shared" si="30"/>
        <v>0</v>
      </c>
      <c r="S166" s="16" t="e">
        <f t="shared" si="32"/>
        <v>#DIV/0!</v>
      </c>
    </row>
    <row r="167" spans="1:19" ht="30" x14ac:dyDescent="0.25">
      <c r="A167" s="22"/>
      <c r="B167" s="22"/>
      <c r="C167" s="11" t="s">
        <v>109</v>
      </c>
      <c r="D167" s="12">
        <v>7.04</v>
      </c>
      <c r="E167" s="13">
        <v>41.99</v>
      </c>
      <c r="F167" s="13">
        <f t="shared" si="34"/>
        <v>295.6096</v>
      </c>
      <c r="G167" s="13">
        <v>41.99</v>
      </c>
      <c r="H167" s="13">
        <f t="shared" si="35"/>
        <v>44.929300000000005</v>
      </c>
      <c r="I167" s="13">
        <f t="shared" si="27"/>
        <v>295.6096</v>
      </c>
      <c r="J167" s="13">
        <f t="shared" si="28"/>
        <v>316.30227200000002</v>
      </c>
      <c r="K167" s="14">
        <f t="shared" si="36"/>
        <v>107</v>
      </c>
      <c r="L167" s="12"/>
      <c r="M167" s="13"/>
      <c r="N167" s="13">
        <f t="shared" si="31"/>
        <v>0</v>
      </c>
      <c r="O167" s="15"/>
      <c r="P167" s="15"/>
      <c r="Q167" s="15">
        <f t="shared" si="29"/>
        <v>0</v>
      </c>
      <c r="R167" s="15">
        <f t="shared" si="30"/>
        <v>0</v>
      </c>
      <c r="S167" s="16" t="e">
        <f t="shared" si="32"/>
        <v>#DIV/0!</v>
      </c>
    </row>
    <row r="168" spans="1:19" ht="45" x14ac:dyDescent="0.25">
      <c r="A168" s="19"/>
      <c r="B168" s="19"/>
      <c r="C168" s="11" t="s">
        <v>168</v>
      </c>
      <c r="D168" s="12">
        <v>32.68</v>
      </c>
      <c r="E168" s="13">
        <v>45.2</v>
      </c>
      <c r="F168" s="13">
        <f t="shared" si="34"/>
        <v>1477.136</v>
      </c>
      <c r="G168" s="13">
        <v>45.2</v>
      </c>
      <c r="H168" s="13">
        <f t="shared" si="35"/>
        <v>48.364000000000004</v>
      </c>
      <c r="I168" s="13">
        <f t="shared" si="27"/>
        <v>1477.136</v>
      </c>
      <c r="J168" s="13">
        <f t="shared" si="28"/>
        <v>1580.5355200000001</v>
      </c>
      <c r="K168" s="14">
        <f t="shared" si="36"/>
        <v>107</v>
      </c>
      <c r="L168" s="12"/>
      <c r="M168" s="13"/>
      <c r="N168" s="13">
        <f t="shared" si="31"/>
        <v>0</v>
      </c>
      <c r="O168" s="15"/>
      <c r="P168" s="15"/>
      <c r="Q168" s="15">
        <f t="shared" si="29"/>
        <v>0</v>
      </c>
      <c r="R168" s="15">
        <f t="shared" si="30"/>
        <v>0</v>
      </c>
      <c r="S168" s="16" t="e">
        <f t="shared" si="32"/>
        <v>#DIV/0!</v>
      </c>
    </row>
    <row r="169" spans="1:19" ht="45" x14ac:dyDescent="0.25">
      <c r="A169" s="2">
        <v>55</v>
      </c>
      <c r="B169" s="10" t="s">
        <v>25</v>
      </c>
      <c r="C169" s="11" t="s">
        <v>37</v>
      </c>
      <c r="D169" s="33">
        <f>16104+3394</f>
        <v>19498</v>
      </c>
      <c r="E169" s="13">
        <v>29.1</v>
      </c>
      <c r="F169" s="34">
        <f t="shared" si="34"/>
        <v>567391.80000000005</v>
      </c>
      <c r="G169" s="13">
        <v>29.1</v>
      </c>
      <c r="H169" s="13">
        <f>G169*1.14</f>
        <v>33.173999999999999</v>
      </c>
      <c r="I169" s="13">
        <f t="shared" si="27"/>
        <v>567391.80000000005</v>
      </c>
      <c r="J169" s="13">
        <f t="shared" si="28"/>
        <v>646826.652</v>
      </c>
      <c r="K169" s="14">
        <f t="shared" ref="K169:K179" si="37">J169/I169*100</f>
        <v>113.99999999999999</v>
      </c>
      <c r="L169" s="33">
        <f>19320</f>
        <v>19320</v>
      </c>
      <c r="M169" s="13">
        <v>22.67745</v>
      </c>
      <c r="N169" s="13">
        <f t="shared" si="31"/>
        <v>438128.33400000003</v>
      </c>
      <c r="O169" s="15">
        <v>22.68</v>
      </c>
      <c r="P169" s="15">
        <f>O169*1.14</f>
        <v>25.855199999999996</v>
      </c>
      <c r="Q169" s="15">
        <f t="shared" si="29"/>
        <v>438177.6</v>
      </c>
      <c r="R169" s="15">
        <f t="shared" si="30"/>
        <v>499522.46399999992</v>
      </c>
      <c r="S169" s="16">
        <f t="shared" si="32"/>
        <v>113.99999999999999</v>
      </c>
    </row>
    <row r="170" spans="1:19" ht="45" x14ac:dyDescent="0.25">
      <c r="A170" s="2">
        <v>56</v>
      </c>
      <c r="B170" s="10" t="s">
        <v>181</v>
      </c>
      <c r="C170" s="11" t="s">
        <v>37</v>
      </c>
      <c r="D170" s="12">
        <v>0</v>
      </c>
      <c r="E170" s="13"/>
      <c r="F170" s="13">
        <f t="shared" si="34"/>
        <v>0</v>
      </c>
      <c r="G170" s="13"/>
      <c r="H170" s="13"/>
      <c r="I170" s="13">
        <f t="shared" si="27"/>
        <v>0</v>
      </c>
      <c r="J170" s="13">
        <f t="shared" si="28"/>
        <v>0</v>
      </c>
      <c r="K170" s="14" t="e">
        <f t="shared" si="37"/>
        <v>#DIV/0!</v>
      </c>
      <c r="L170" s="12"/>
      <c r="M170" s="13"/>
      <c r="N170" s="13">
        <f t="shared" si="31"/>
        <v>0</v>
      </c>
      <c r="O170" s="15"/>
      <c r="P170" s="15"/>
      <c r="Q170" s="15">
        <f t="shared" si="29"/>
        <v>0</v>
      </c>
      <c r="R170" s="15">
        <f t="shared" si="30"/>
        <v>0</v>
      </c>
      <c r="S170" s="16" t="e">
        <f t="shared" si="32"/>
        <v>#DIV/0!</v>
      </c>
    </row>
    <row r="171" spans="1:19" ht="45" x14ac:dyDescent="0.25">
      <c r="A171" s="2">
        <v>57</v>
      </c>
      <c r="B171" s="10" t="s">
        <v>182</v>
      </c>
      <c r="C171" s="11" t="s">
        <v>37</v>
      </c>
      <c r="D171" s="12">
        <v>0</v>
      </c>
      <c r="E171" s="13"/>
      <c r="F171" s="13">
        <f t="shared" si="34"/>
        <v>0</v>
      </c>
      <c r="G171" s="13"/>
      <c r="H171" s="13"/>
      <c r="I171" s="13">
        <f t="shared" si="27"/>
        <v>0</v>
      </c>
      <c r="J171" s="13">
        <f t="shared" si="28"/>
        <v>0</v>
      </c>
      <c r="K171" s="14" t="e">
        <f t="shared" si="37"/>
        <v>#DIV/0!</v>
      </c>
      <c r="L171" s="12"/>
      <c r="M171" s="13"/>
      <c r="N171" s="13">
        <f t="shared" si="31"/>
        <v>0</v>
      </c>
      <c r="O171" s="15"/>
      <c r="P171" s="15"/>
      <c r="Q171" s="15">
        <f t="shared" si="29"/>
        <v>0</v>
      </c>
      <c r="R171" s="15">
        <f t="shared" si="30"/>
        <v>0</v>
      </c>
      <c r="S171" s="16" t="e">
        <f t="shared" si="32"/>
        <v>#DIV/0!</v>
      </c>
    </row>
    <row r="172" spans="1:19" ht="45" x14ac:dyDescent="0.25">
      <c r="A172" s="2">
        <v>58</v>
      </c>
      <c r="B172" s="10" t="s">
        <v>99</v>
      </c>
      <c r="C172" s="11" t="s">
        <v>37</v>
      </c>
      <c r="D172" s="12">
        <v>4</v>
      </c>
      <c r="E172" s="13">
        <v>19.82</v>
      </c>
      <c r="F172" s="13">
        <f t="shared" si="34"/>
        <v>79.28</v>
      </c>
      <c r="G172" s="13">
        <v>19.82</v>
      </c>
      <c r="H172" s="13">
        <v>22.28</v>
      </c>
      <c r="I172" s="13">
        <f t="shared" si="27"/>
        <v>79.28</v>
      </c>
      <c r="J172" s="13">
        <f t="shared" si="28"/>
        <v>89.12</v>
      </c>
      <c r="K172" s="14">
        <f t="shared" si="37"/>
        <v>112.41170534813321</v>
      </c>
      <c r="L172" s="12"/>
      <c r="M172" s="13"/>
      <c r="N172" s="13">
        <f t="shared" si="31"/>
        <v>0</v>
      </c>
      <c r="O172" s="15"/>
      <c r="P172" s="15"/>
      <c r="Q172" s="15">
        <f t="shared" si="29"/>
        <v>0</v>
      </c>
      <c r="R172" s="15">
        <f t="shared" si="30"/>
        <v>0</v>
      </c>
      <c r="S172" s="16" t="e">
        <f t="shared" si="32"/>
        <v>#DIV/0!</v>
      </c>
    </row>
    <row r="173" spans="1:19" ht="45" x14ac:dyDescent="0.25">
      <c r="A173" s="2"/>
      <c r="B173" s="10" t="s">
        <v>187</v>
      </c>
      <c r="C173" s="11" t="s">
        <v>190</v>
      </c>
      <c r="D173" s="12"/>
      <c r="E173" s="13"/>
      <c r="F173" s="13">
        <f t="shared" si="34"/>
        <v>0</v>
      </c>
      <c r="G173" s="13"/>
      <c r="H173" s="13"/>
      <c r="I173" s="13">
        <f t="shared" si="27"/>
        <v>0</v>
      </c>
      <c r="J173" s="13">
        <f t="shared" si="28"/>
        <v>0</v>
      </c>
      <c r="K173" s="14" t="e">
        <f t="shared" si="37"/>
        <v>#DIV/0!</v>
      </c>
      <c r="L173" s="12"/>
      <c r="M173" s="13"/>
      <c r="N173" s="13">
        <f t="shared" si="31"/>
        <v>0</v>
      </c>
      <c r="O173" s="15"/>
      <c r="P173" s="15"/>
      <c r="Q173" s="15">
        <f t="shared" si="29"/>
        <v>0</v>
      </c>
      <c r="R173" s="15">
        <f t="shared" si="30"/>
        <v>0</v>
      </c>
      <c r="S173" s="16" t="e">
        <f t="shared" si="32"/>
        <v>#DIV/0!</v>
      </c>
    </row>
    <row r="174" spans="1:19" ht="30" x14ac:dyDescent="0.25">
      <c r="A174" s="2"/>
      <c r="B174" s="10"/>
      <c r="C174" s="11" t="s">
        <v>189</v>
      </c>
      <c r="D174" s="12"/>
      <c r="E174" s="13"/>
      <c r="F174" s="13">
        <f t="shared" si="34"/>
        <v>0</v>
      </c>
      <c r="G174" s="13"/>
      <c r="H174" s="13"/>
      <c r="I174" s="13">
        <f t="shared" si="27"/>
        <v>0</v>
      </c>
      <c r="J174" s="13">
        <f t="shared" si="28"/>
        <v>0</v>
      </c>
      <c r="K174" s="14" t="e">
        <f t="shared" si="37"/>
        <v>#DIV/0!</v>
      </c>
      <c r="L174" s="12"/>
      <c r="M174" s="13"/>
      <c r="N174" s="13">
        <f t="shared" si="31"/>
        <v>0</v>
      </c>
      <c r="O174" s="15"/>
      <c r="P174" s="15"/>
      <c r="Q174" s="15">
        <f t="shared" si="29"/>
        <v>0</v>
      </c>
      <c r="R174" s="15">
        <f t="shared" si="30"/>
        <v>0</v>
      </c>
      <c r="S174" s="16" t="e">
        <f t="shared" si="32"/>
        <v>#DIV/0!</v>
      </c>
    </row>
    <row r="175" spans="1:19" ht="30" x14ac:dyDescent="0.25">
      <c r="A175" s="2">
        <v>59</v>
      </c>
      <c r="B175" s="10"/>
      <c r="C175" s="11" t="s">
        <v>188</v>
      </c>
      <c r="D175" s="12"/>
      <c r="E175" s="13"/>
      <c r="F175" s="13">
        <f t="shared" si="34"/>
        <v>0</v>
      </c>
      <c r="G175" s="13"/>
      <c r="H175" s="13"/>
      <c r="I175" s="13">
        <f t="shared" si="27"/>
        <v>0</v>
      </c>
      <c r="J175" s="13">
        <f t="shared" si="28"/>
        <v>0</v>
      </c>
      <c r="K175" s="14" t="e">
        <f t="shared" si="37"/>
        <v>#DIV/0!</v>
      </c>
      <c r="L175" s="12"/>
      <c r="M175" s="13"/>
      <c r="N175" s="13">
        <f t="shared" si="31"/>
        <v>0</v>
      </c>
      <c r="O175" s="15"/>
      <c r="P175" s="15"/>
      <c r="Q175" s="15">
        <f t="shared" si="29"/>
        <v>0</v>
      </c>
      <c r="R175" s="15">
        <f t="shared" si="30"/>
        <v>0</v>
      </c>
      <c r="S175" s="16" t="e">
        <f t="shared" si="32"/>
        <v>#DIV/0!</v>
      </c>
    </row>
    <row r="176" spans="1:19" ht="30" x14ac:dyDescent="0.25">
      <c r="A176" s="2">
        <v>60</v>
      </c>
      <c r="B176" s="10" t="s">
        <v>196</v>
      </c>
      <c r="C176" s="11" t="s">
        <v>197</v>
      </c>
      <c r="D176" s="12"/>
      <c r="E176" s="13"/>
      <c r="F176" s="13">
        <f t="shared" si="34"/>
        <v>0</v>
      </c>
      <c r="G176" s="13"/>
      <c r="H176" s="13"/>
      <c r="I176" s="13">
        <f t="shared" si="27"/>
        <v>0</v>
      </c>
      <c r="J176" s="13">
        <f t="shared" si="28"/>
        <v>0</v>
      </c>
      <c r="K176" s="14" t="e">
        <f t="shared" si="37"/>
        <v>#DIV/0!</v>
      </c>
      <c r="L176" s="12"/>
      <c r="M176" s="13"/>
      <c r="N176" s="13">
        <f t="shared" si="31"/>
        <v>0</v>
      </c>
      <c r="O176" s="15"/>
      <c r="P176" s="15"/>
      <c r="Q176" s="15">
        <f t="shared" si="29"/>
        <v>0</v>
      </c>
      <c r="R176" s="15">
        <f t="shared" si="30"/>
        <v>0</v>
      </c>
      <c r="S176" s="16" t="e">
        <f t="shared" si="32"/>
        <v>#DIV/0!</v>
      </c>
    </row>
    <row r="177" spans="1:19" ht="45" x14ac:dyDescent="0.25">
      <c r="A177" s="2"/>
      <c r="B177" s="10" t="s">
        <v>258</v>
      </c>
      <c r="C177" s="11" t="s">
        <v>259</v>
      </c>
      <c r="D177" s="12">
        <v>17.38</v>
      </c>
      <c r="E177" s="13">
        <v>14.58</v>
      </c>
      <c r="F177" s="13">
        <f t="shared" si="34"/>
        <v>253.40039999999999</v>
      </c>
      <c r="G177" s="13">
        <v>14.58</v>
      </c>
      <c r="H177" s="13">
        <v>15.68</v>
      </c>
      <c r="I177" s="13">
        <f t="shared" si="27"/>
        <v>253.40039999999999</v>
      </c>
      <c r="J177" s="13">
        <f t="shared" si="28"/>
        <v>272.51839999999999</v>
      </c>
      <c r="K177" s="14">
        <f t="shared" si="37"/>
        <v>107.5445816186557</v>
      </c>
      <c r="L177" s="12">
        <v>16.98</v>
      </c>
      <c r="M177" s="13">
        <v>26.89</v>
      </c>
      <c r="N177" s="13">
        <f t="shared" si="31"/>
        <v>456.59220000000005</v>
      </c>
      <c r="O177" s="15">
        <v>26.89</v>
      </c>
      <c r="P177" s="15">
        <v>30.81</v>
      </c>
      <c r="Q177" s="15">
        <f t="shared" si="29"/>
        <v>456.59220000000005</v>
      </c>
      <c r="R177" s="15">
        <f t="shared" si="30"/>
        <v>523.15380000000005</v>
      </c>
      <c r="S177" s="16">
        <f t="shared" si="32"/>
        <v>114.57791000371887</v>
      </c>
    </row>
    <row r="178" spans="1:19" ht="60" x14ac:dyDescent="0.25">
      <c r="A178" s="2">
        <v>61</v>
      </c>
      <c r="B178" s="10" t="s">
        <v>193</v>
      </c>
      <c r="C178" s="11" t="s">
        <v>37</v>
      </c>
      <c r="D178" s="12"/>
      <c r="E178" s="13"/>
      <c r="F178" s="13">
        <f t="shared" si="34"/>
        <v>0</v>
      </c>
      <c r="G178" s="13"/>
      <c r="H178" s="13"/>
      <c r="I178" s="13">
        <f t="shared" si="27"/>
        <v>0</v>
      </c>
      <c r="J178" s="13">
        <f t="shared" si="28"/>
        <v>0</v>
      </c>
      <c r="K178" s="14" t="e">
        <f t="shared" si="37"/>
        <v>#DIV/0!</v>
      </c>
      <c r="L178" s="12"/>
      <c r="M178" s="13"/>
      <c r="N178" s="13">
        <f t="shared" si="31"/>
        <v>0</v>
      </c>
      <c r="O178" s="15"/>
      <c r="P178" s="15"/>
      <c r="Q178" s="15">
        <f t="shared" si="29"/>
        <v>0</v>
      </c>
      <c r="R178" s="15">
        <f t="shared" si="30"/>
        <v>0</v>
      </c>
      <c r="S178" s="16" t="e">
        <f t="shared" si="32"/>
        <v>#DIV/0!</v>
      </c>
    </row>
    <row r="179" spans="1:19" x14ac:dyDescent="0.25">
      <c r="A179" s="2">
        <v>62</v>
      </c>
      <c r="B179" s="10" t="s">
        <v>27</v>
      </c>
      <c r="C179" s="11" t="s">
        <v>37</v>
      </c>
      <c r="D179" s="12">
        <v>1949.93</v>
      </c>
      <c r="E179" s="13">
        <v>32.090000000000003</v>
      </c>
      <c r="F179" s="13">
        <f t="shared" si="34"/>
        <v>62573.253700000008</v>
      </c>
      <c r="G179" s="13">
        <v>32.090000000000003</v>
      </c>
      <c r="H179" s="13">
        <v>35.840000000000003</v>
      </c>
      <c r="I179" s="13">
        <f t="shared" si="27"/>
        <v>62573.253700000008</v>
      </c>
      <c r="J179" s="13">
        <f t="shared" si="28"/>
        <v>69885.491200000004</v>
      </c>
      <c r="K179" s="14">
        <f t="shared" si="37"/>
        <v>111.68588345278903</v>
      </c>
      <c r="L179" s="12"/>
      <c r="M179" s="13"/>
      <c r="N179" s="13">
        <f t="shared" si="31"/>
        <v>0</v>
      </c>
      <c r="O179" s="15"/>
      <c r="P179" s="15"/>
      <c r="Q179" s="15">
        <f t="shared" si="29"/>
        <v>0</v>
      </c>
      <c r="R179" s="15">
        <f t="shared" si="30"/>
        <v>0</v>
      </c>
      <c r="S179" s="16" t="e">
        <f t="shared" si="32"/>
        <v>#DIV/0!</v>
      </c>
    </row>
    <row r="180" spans="1:19" ht="60" x14ac:dyDescent="0.25">
      <c r="A180" s="2"/>
      <c r="B180" s="10" t="s">
        <v>198</v>
      </c>
      <c r="C180" s="11" t="s">
        <v>199</v>
      </c>
      <c r="D180" s="12"/>
      <c r="E180" s="13"/>
      <c r="F180" s="13">
        <f t="shared" si="34"/>
        <v>0</v>
      </c>
      <c r="G180" s="13"/>
      <c r="H180" s="13"/>
      <c r="I180" s="13">
        <f t="shared" si="27"/>
        <v>0</v>
      </c>
      <c r="J180" s="13">
        <f t="shared" si="28"/>
        <v>0</v>
      </c>
      <c r="K180" s="14" t="e">
        <f t="shared" ref="K180:K218" si="38">H180/E180*100</f>
        <v>#DIV/0!</v>
      </c>
      <c r="L180" s="12"/>
      <c r="M180" s="13"/>
      <c r="N180" s="13">
        <f t="shared" si="31"/>
        <v>0</v>
      </c>
      <c r="O180" s="15"/>
      <c r="P180" s="15"/>
      <c r="Q180" s="15">
        <f t="shared" si="29"/>
        <v>0</v>
      </c>
      <c r="R180" s="15">
        <f t="shared" si="30"/>
        <v>0</v>
      </c>
      <c r="S180" s="16" t="e">
        <f t="shared" si="32"/>
        <v>#DIV/0!</v>
      </c>
    </row>
    <row r="181" spans="1:19" x14ac:dyDescent="0.25">
      <c r="A181" s="2">
        <v>63</v>
      </c>
      <c r="B181" s="10"/>
      <c r="C181" s="11" t="s">
        <v>37</v>
      </c>
      <c r="D181" s="12"/>
      <c r="E181" s="13"/>
      <c r="F181" s="13">
        <f t="shared" si="34"/>
        <v>0</v>
      </c>
      <c r="G181" s="13"/>
      <c r="H181" s="13"/>
      <c r="I181" s="13">
        <f t="shared" si="27"/>
        <v>0</v>
      </c>
      <c r="J181" s="13">
        <f t="shared" si="28"/>
        <v>0</v>
      </c>
      <c r="K181" s="14" t="e">
        <f t="shared" si="38"/>
        <v>#DIV/0!</v>
      </c>
      <c r="L181" s="12"/>
      <c r="M181" s="13"/>
      <c r="N181" s="13">
        <f t="shared" si="31"/>
        <v>0</v>
      </c>
      <c r="O181" s="15"/>
      <c r="P181" s="15"/>
      <c r="Q181" s="15">
        <f t="shared" si="29"/>
        <v>0</v>
      </c>
      <c r="R181" s="15">
        <f t="shared" si="30"/>
        <v>0</v>
      </c>
      <c r="S181" s="16" t="e">
        <f t="shared" si="32"/>
        <v>#DIV/0!</v>
      </c>
    </row>
    <row r="182" spans="1:19" ht="240" x14ac:dyDescent="0.25">
      <c r="A182" s="2">
        <v>64</v>
      </c>
      <c r="B182" s="10" t="s">
        <v>274</v>
      </c>
      <c r="C182" s="11" t="s">
        <v>37</v>
      </c>
      <c r="D182" s="12">
        <v>5.75</v>
      </c>
      <c r="E182" s="13">
        <v>42.3</v>
      </c>
      <c r="F182" s="13">
        <f t="shared" si="34"/>
        <v>243.22499999999999</v>
      </c>
      <c r="G182" s="13">
        <v>42.3</v>
      </c>
      <c r="H182" s="13">
        <f>48.43</f>
        <v>48.43</v>
      </c>
      <c r="I182" s="13">
        <f t="shared" si="27"/>
        <v>243.22499999999999</v>
      </c>
      <c r="J182" s="13">
        <f t="shared" si="28"/>
        <v>278.47250000000003</v>
      </c>
      <c r="K182" s="14">
        <f t="shared" si="38"/>
        <v>114.49172576832152</v>
      </c>
      <c r="L182" s="12"/>
      <c r="M182" s="13"/>
      <c r="N182" s="13">
        <f t="shared" si="31"/>
        <v>0</v>
      </c>
      <c r="O182" s="15"/>
      <c r="P182" s="15"/>
      <c r="Q182" s="15">
        <f t="shared" si="29"/>
        <v>0</v>
      </c>
      <c r="R182" s="15">
        <f t="shared" si="30"/>
        <v>0</v>
      </c>
      <c r="S182" s="16" t="e">
        <f t="shared" si="32"/>
        <v>#DIV/0!</v>
      </c>
    </row>
    <row r="183" spans="1:19" ht="45" x14ac:dyDescent="0.25">
      <c r="A183" s="2">
        <v>65</v>
      </c>
      <c r="B183" s="10" t="s">
        <v>235</v>
      </c>
      <c r="C183" s="11" t="s">
        <v>37</v>
      </c>
      <c r="D183" s="12">
        <v>8</v>
      </c>
      <c r="E183" s="13">
        <v>30.46</v>
      </c>
      <c r="F183" s="13">
        <f t="shared" si="34"/>
        <v>243.68</v>
      </c>
      <c r="G183" s="13">
        <v>30.46</v>
      </c>
      <c r="H183" s="13">
        <v>33.85</v>
      </c>
      <c r="I183" s="13">
        <f t="shared" si="27"/>
        <v>243.68</v>
      </c>
      <c r="J183" s="13">
        <f t="shared" si="28"/>
        <v>270.8</v>
      </c>
      <c r="K183" s="14">
        <f t="shared" si="38"/>
        <v>111.12934996717006</v>
      </c>
      <c r="L183" s="12"/>
      <c r="M183" s="13"/>
      <c r="N183" s="13">
        <f t="shared" si="31"/>
        <v>0</v>
      </c>
      <c r="O183" s="15"/>
      <c r="P183" s="15"/>
      <c r="Q183" s="15">
        <f t="shared" si="29"/>
        <v>0</v>
      </c>
      <c r="R183" s="15">
        <f t="shared" si="30"/>
        <v>0</v>
      </c>
      <c r="S183" s="16" t="e">
        <f t="shared" si="32"/>
        <v>#DIV/0!</v>
      </c>
    </row>
    <row r="184" spans="1:19" ht="30" x14ac:dyDescent="0.25">
      <c r="A184" s="2">
        <v>66</v>
      </c>
      <c r="B184" s="10" t="s">
        <v>28</v>
      </c>
      <c r="C184" s="11" t="s">
        <v>38</v>
      </c>
      <c r="D184" s="12">
        <f>4271.4</f>
        <v>4271.3999999999996</v>
      </c>
      <c r="E184" s="13">
        <v>30.455999999999996</v>
      </c>
      <c r="F184" s="13">
        <f t="shared" si="34"/>
        <v>130089.75839999998</v>
      </c>
      <c r="G184" s="13">
        <v>30.455999999999996</v>
      </c>
      <c r="H184" s="13">
        <v>33.53</v>
      </c>
      <c r="I184" s="13">
        <f t="shared" si="27"/>
        <v>130089.75839999998</v>
      </c>
      <c r="J184" s="13">
        <f t="shared" si="28"/>
        <v>143220.04199999999</v>
      </c>
      <c r="K184" s="14">
        <f t="shared" si="38"/>
        <v>110.09324927764645</v>
      </c>
      <c r="L184" s="12">
        <v>5081.2</v>
      </c>
      <c r="M184" s="13">
        <v>20.6</v>
      </c>
      <c r="N184" s="13">
        <f t="shared" si="31"/>
        <v>104672.72</v>
      </c>
      <c r="O184" s="15">
        <v>20.6</v>
      </c>
      <c r="P184" s="15">
        <v>22.68</v>
      </c>
      <c r="Q184" s="15">
        <f t="shared" si="29"/>
        <v>104672.72</v>
      </c>
      <c r="R184" s="15">
        <f t="shared" si="30"/>
        <v>115241.61599999999</v>
      </c>
      <c r="S184" s="16">
        <f t="shared" si="32"/>
        <v>110.09708737864077</v>
      </c>
    </row>
    <row r="185" spans="1:19" ht="30" x14ac:dyDescent="0.25">
      <c r="A185" s="2">
        <v>67</v>
      </c>
      <c r="B185" s="10" t="s">
        <v>176</v>
      </c>
      <c r="C185" s="11" t="s">
        <v>177</v>
      </c>
      <c r="D185" s="12"/>
      <c r="E185" s="13"/>
      <c r="F185" s="13">
        <f t="shared" si="34"/>
        <v>0</v>
      </c>
      <c r="G185" s="13"/>
      <c r="H185" s="13"/>
      <c r="I185" s="13">
        <f t="shared" si="27"/>
        <v>0</v>
      </c>
      <c r="J185" s="13">
        <f t="shared" si="28"/>
        <v>0</v>
      </c>
      <c r="K185" s="14" t="e">
        <f t="shared" si="38"/>
        <v>#DIV/0!</v>
      </c>
      <c r="L185" s="12"/>
      <c r="M185" s="13"/>
      <c r="N185" s="13">
        <f t="shared" si="31"/>
        <v>0</v>
      </c>
      <c r="O185" s="15"/>
      <c r="P185" s="15"/>
      <c r="Q185" s="15">
        <f t="shared" si="29"/>
        <v>0</v>
      </c>
      <c r="R185" s="15">
        <f t="shared" si="30"/>
        <v>0</v>
      </c>
      <c r="S185" s="16" t="e">
        <f t="shared" si="32"/>
        <v>#DIV/0!</v>
      </c>
    </row>
    <row r="186" spans="1:19" ht="45" x14ac:dyDescent="0.25">
      <c r="A186" s="2"/>
      <c r="B186" s="10" t="s">
        <v>204</v>
      </c>
      <c r="C186" s="11" t="s">
        <v>191</v>
      </c>
      <c r="D186" s="12">
        <v>0</v>
      </c>
      <c r="E186" s="13"/>
      <c r="F186" s="13">
        <f t="shared" si="34"/>
        <v>0</v>
      </c>
      <c r="G186" s="13"/>
      <c r="H186" s="13"/>
      <c r="I186" s="13">
        <f t="shared" si="27"/>
        <v>0</v>
      </c>
      <c r="J186" s="13">
        <f t="shared" si="28"/>
        <v>0</v>
      </c>
      <c r="K186" s="14" t="e">
        <f t="shared" si="38"/>
        <v>#DIV/0!</v>
      </c>
      <c r="L186" s="12"/>
      <c r="M186" s="13"/>
      <c r="N186" s="13">
        <f t="shared" si="31"/>
        <v>0</v>
      </c>
      <c r="O186" s="15"/>
      <c r="P186" s="15"/>
      <c r="Q186" s="15">
        <f t="shared" si="29"/>
        <v>0</v>
      </c>
      <c r="R186" s="15">
        <f t="shared" si="30"/>
        <v>0</v>
      </c>
      <c r="S186" s="16" t="e">
        <f t="shared" si="32"/>
        <v>#DIV/0!</v>
      </c>
    </row>
    <row r="187" spans="1:19" ht="30" x14ac:dyDescent="0.25">
      <c r="A187" s="2"/>
      <c r="B187" s="10"/>
      <c r="C187" s="11" t="s">
        <v>192</v>
      </c>
      <c r="D187" s="12">
        <v>0</v>
      </c>
      <c r="E187" s="13"/>
      <c r="F187" s="13">
        <f t="shared" si="34"/>
        <v>0</v>
      </c>
      <c r="G187" s="13"/>
      <c r="H187" s="13"/>
      <c r="I187" s="13">
        <f t="shared" si="27"/>
        <v>0</v>
      </c>
      <c r="J187" s="13">
        <f t="shared" si="28"/>
        <v>0</v>
      </c>
      <c r="K187" s="14" t="e">
        <f t="shared" si="38"/>
        <v>#DIV/0!</v>
      </c>
      <c r="L187" s="12"/>
      <c r="M187" s="13"/>
      <c r="N187" s="13">
        <f t="shared" si="31"/>
        <v>0</v>
      </c>
      <c r="O187" s="15"/>
      <c r="P187" s="15"/>
      <c r="Q187" s="15">
        <f t="shared" si="29"/>
        <v>0</v>
      </c>
      <c r="R187" s="15">
        <f t="shared" si="30"/>
        <v>0</v>
      </c>
      <c r="S187" s="16" t="e">
        <f t="shared" si="32"/>
        <v>#DIV/0!</v>
      </c>
    </row>
    <row r="188" spans="1:19" ht="30" x14ac:dyDescent="0.25">
      <c r="A188" s="2">
        <v>68</v>
      </c>
      <c r="B188" s="10"/>
      <c r="C188" s="11" t="s">
        <v>177</v>
      </c>
      <c r="D188" s="12">
        <v>0</v>
      </c>
      <c r="E188" s="13"/>
      <c r="F188" s="13">
        <f t="shared" si="34"/>
        <v>0</v>
      </c>
      <c r="G188" s="13"/>
      <c r="H188" s="13"/>
      <c r="I188" s="13">
        <f t="shared" si="27"/>
        <v>0</v>
      </c>
      <c r="J188" s="13">
        <f t="shared" si="28"/>
        <v>0</v>
      </c>
      <c r="K188" s="14" t="e">
        <f t="shared" si="38"/>
        <v>#DIV/0!</v>
      </c>
      <c r="L188" s="12"/>
      <c r="M188" s="13"/>
      <c r="N188" s="13">
        <f t="shared" si="31"/>
        <v>0</v>
      </c>
      <c r="O188" s="15"/>
      <c r="P188" s="15"/>
      <c r="Q188" s="15">
        <f t="shared" si="29"/>
        <v>0</v>
      </c>
      <c r="R188" s="15">
        <f t="shared" si="30"/>
        <v>0</v>
      </c>
      <c r="S188" s="16" t="e">
        <f t="shared" si="32"/>
        <v>#DIV/0!</v>
      </c>
    </row>
    <row r="189" spans="1:19" ht="90" x14ac:dyDescent="0.25">
      <c r="A189" s="2">
        <v>69</v>
      </c>
      <c r="B189" s="10" t="s">
        <v>100</v>
      </c>
      <c r="C189" s="11" t="s">
        <v>217</v>
      </c>
      <c r="D189" s="12">
        <v>4.12</v>
      </c>
      <c r="E189" s="13">
        <v>32.93</v>
      </c>
      <c r="F189" s="13">
        <f t="shared" si="34"/>
        <v>135.67160000000001</v>
      </c>
      <c r="G189" s="13">
        <v>32.93</v>
      </c>
      <c r="H189" s="13">
        <v>37.01</v>
      </c>
      <c r="I189" s="13">
        <f t="shared" si="27"/>
        <v>135.67160000000001</v>
      </c>
      <c r="J189" s="13">
        <f t="shared" si="28"/>
        <v>152.4812</v>
      </c>
      <c r="K189" s="14">
        <f t="shared" si="38"/>
        <v>112.38991800789553</v>
      </c>
      <c r="L189" s="12">
        <v>6.367</v>
      </c>
      <c r="M189" s="13">
        <v>34.68</v>
      </c>
      <c r="N189" s="13">
        <f t="shared" si="31"/>
        <v>220.80756</v>
      </c>
      <c r="O189" s="15">
        <v>34.68</v>
      </c>
      <c r="P189" s="15">
        <v>38.14</v>
      </c>
      <c r="Q189" s="15">
        <f t="shared" si="29"/>
        <v>220.80756</v>
      </c>
      <c r="R189" s="15">
        <f t="shared" si="30"/>
        <v>242.83738</v>
      </c>
      <c r="S189" s="16">
        <f t="shared" si="32"/>
        <v>109.97693194925029</v>
      </c>
    </row>
    <row r="190" spans="1:19" x14ac:dyDescent="0.25">
      <c r="A190" s="2">
        <v>70</v>
      </c>
      <c r="B190" s="10" t="s">
        <v>29</v>
      </c>
      <c r="C190" s="11" t="s">
        <v>39</v>
      </c>
      <c r="D190" s="12">
        <v>1458.173</v>
      </c>
      <c r="E190" s="13">
        <v>25.89</v>
      </c>
      <c r="F190" s="13">
        <f t="shared" si="34"/>
        <v>37752.098969999999</v>
      </c>
      <c r="G190" s="13">
        <v>25.89</v>
      </c>
      <c r="H190" s="13">
        <v>26.1</v>
      </c>
      <c r="I190" s="13">
        <f t="shared" si="27"/>
        <v>37752.098969999999</v>
      </c>
      <c r="J190" s="13">
        <f t="shared" si="28"/>
        <v>38058.315300000002</v>
      </c>
      <c r="K190" s="14">
        <f t="shared" si="38"/>
        <v>100.81112398609503</v>
      </c>
      <c r="L190" s="12">
        <v>2286</v>
      </c>
      <c r="M190" s="13">
        <v>30.28</v>
      </c>
      <c r="N190" s="13">
        <f t="shared" si="31"/>
        <v>69220.08</v>
      </c>
      <c r="O190" s="15">
        <v>30.28</v>
      </c>
      <c r="P190" s="15">
        <v>35.24</v>
      </c>
      <c r="Q190" s="15">
        <f t="shared" si="29"/>
        <v>69220.08</v>
      </c>
      <c r="R190" s="15">
        <f t="shared" si="30"/>
        <v>80558.64</v>
      </c>
      <c r="S190" s="16">
        <f t="shared" si="32"/>
        <v>116.38044914134741</v>
      </c>
    </row>
    <row r="191" spans="1:19" ht="30" x14ac:dyDescent="0.25">
      <c r="A191" s="2">
        <v>71</v>
      </c>
      <c r="B191" s="10" t="s">
        <v>179</v>
      </c>
      <c r="C191" s="11" t="s">
        <v>178</v>
      </c>
      <c r="D191" s="12"/>
      <c r="E191" s="13"/>
      <c r="F191" s="13">
        <f t="shared" si="34"/>
        <v>0</v>
      </c>
      <c r="G191" s="13"/>
      <c r="H191" s="13"/>
      <c r="I191" s="13">
        <f t="shared" si="27"/>
        <v>0</v>
      </c>
      <c r="J191" s="13">
        <f t="shared" si="28"/>
        <v>0</v>
      </c>
      <c r="K191" s="14" t="e">
        <f t="shared" si="38"/>
        <v>#DIV/0!</v>
      </c>
      <c r="L191" s="12"/>
      <c r="M191" s="13"/>
      <c r="N191" s="13">
        <f t="shared" si="31"/>
        <v>0</v>
      </c>
      <c r="O191" s="15"/>
      <c r="P191" s="15"/>
      <c r="Q191" s="15">
        <f t="shared" si="29"/>
        <v>0</v>
      </c>
      <c r="R191" s="15">
        <f t="shared" si="30"/>
        <v>0</v>
      </c>
      <c r="S191" s="16" t="e">
        <f t="shared" si="32"/>
        <v>#DIV/0!</v>
      </c>
    </row>
    <row r="192" spans="1:19" ht="30" x14ac:dyDescent="0.25">
      <c r="A192" s="2">
        <v>72</v>
      </c>
      <c r="B192" s="10" t="s">
        <v>30</v>
      </c>
      <c r="C192" s="11" t="s">
        <v>40</v>
      </c>
      <c r="D192" s="12">
        <v>512.9</v>
      </c>
      <c r="E192" s="13">
        <v>59.15</v>
      </c>
      <c r="F192" s="13">
        <f t="shared" si="34"/>
        <v>30338.034999999996</v>
      </c>
      <c r="G192" s="13">
        <v>59.15</v>
      </c>
      <c r="H192" s="13">
        <v>64.41</v>
      </c>
      <c r="I192" s="13">
        <f t="shared" si="27"/>
        <v>30338.034999999996</v>
      </c>
      <c r="J192" s="13">
        <f t="shared" si="28"/>
        <v>33035.888999999996</v>
      </c>
      <c r="K192" s="14">
        <f t="shared" si="38"/>
        <v>108.89264581572273</v>
      </c>
      <c r="L192" s="12">
        <v>143.62</v>
      </c>
      <c r="M192" s="13">
        <v>41.79</v>
      </c>
      <c r="N192" s="13">
        <f t="shared" si="31"/>
        <v>6001.8797999999997</v>
      </c>
      <c r="O192" s="15">
        <v>41.79</v>
      </c>
      <c r="P192" s="15">
        <v>48.02</v>
      </c>
      <c r="Q192" s="15">
        <f t="shared" si="29"/>
        <v>6001.8797999999997</v>
      </c>
      <c r="R192" s="15">
        <f t="shared" si="30"/>
        <v>6896.6324000000004</v>
      </c>
      <c r="S192" s="16">
        <f t="shared" si="32"/>
        <v>114.90787269681744</v>
      </c>
    </row>
    <row r="193" spans="1:19" ht="60" x14ac:dyDescent="0.25">
      <c r="A193" s="2">
        <v>73</v>
      </c>
      <c r="B193" s="10" t="s">
        <v>200</v>
      </c>
      <c r="C193" s="11" t="s">
        <v>40</v>
      </c>
      <c r="D193" s="12"/>
      <c r="E193" s="13"/>
      <c r="F193" s="13">
        <f t="shared" si="34"/>
        <v>0</v>
      </c>
      <c r="G193" s="13"/>
      <c r="H193" s="13"/>
      <c r="I193" s="13">
        <f t="shared" si="27"/>
        <v>0</v>
      </c>
      <c r="J193" s="13">
        <f t="shared" si="28"/>
        <v>0</v>
      </c>
      <c r="K193" s="14" t="e">
        <f t="shared" si="38"/>
        <v>#DIV/0!</v>
      </c>
      <c r="L193" s="12"/>
      <c r="M193" s="13"/>
      <c r="N193" s="13">
        <f t="shared" si="31"/>
        <v>0</v>
      </c>
      <c r="O193" s="15"/>
      <c r="P193" s="15"/>
      <c r="Q193" s="15">
        <f t="shared" si="29"/>
        <v>0</v>
      </c>
      <c r="R193" s="15">
        <f t="shared" si="30"/>
        <v>0</v>
      </c>
      <c r="S193" s="16" t="e">
        <f t="shared" si="32"/>
        <v>#DIV/0!</v>
      </c>
    </row>
    <row r="194" spans="1:19" ht="45" x14ac:dyDescent="0.25">
      <c r="A194" s="2">
        <v>74</v>
      </c>
      <c r="B194" s="10" t="s">
        <v>31</v>
      </c>
      <c r="C194" s="11" t="s">
        <v>40</v>
      </c>
      <c r="D194" s="12"/>
      <c r="E194" s="13"/>
      <c r="F194" s="13">
        <f t="shared" si="34"/>
        <v>0</v>
      </c>
      <c r="G194" s="13"/>
      <c r="H194" s="13"/>
      <c r="I194" s="13">
        <f t="shared" si="27"/>
        <v>0</v>
      </c>
      <c r="J194" s="13">
        <f t="shared" si="28"/>
        <v>0</v>
      </c>
      <c r="K194" s="14" t="e">
        <f t="shared" si="38"/>
        <v>#DIV/0!</v>
      </c>
      <c r="L194" s="12"/>
      <c r="M194" s="13"/>
      <c r="N194" s="13">
        <f t="shared" si="31"/>
        <v>0</v>
      </c>
      <c r="O194" s="15"/>
      <c r="P194" s="15"/>
      <c r="Q194" s="15">
        <f t="shared" si="29"/>
        <v>0</v>
      </c>
      <c r="R194" s="15">
        <f t="shared" si="30"/>
        <v>0</v>
      </c>
      <c r="S194" s="16" t="e">
        <f t="shared" si="32"/>
        <v>#DIV/0!</v>
      </c>
    </row>
    <row r="195" spans="1:19" ht="45" x14ac:dyDescent="0.25">
      <c r="A195" s="2">
        <v>75</v>
      </c>
      <c r="B195" s="10" t="s">
        <v>183</v>
      </c>
      <c r="C195" s="11" t="s">
        <v>40</v>
      </c>
      <c r="D195" s="12"/>
      <c r="E195" s="13"/>
      <c r="F195" s="13">
        <f t="shared" si="34"/>
        <v>0</v>
      </c>
      <c r="G195" s="13"/>
      <c r="H195" s="13"/>
      <c r="I195" s="13">
        <f t="shared" si="27"/>
        <v>0</v>
      </c>
      <c r="J195" s="13">
        <f t="shared" si="28"/>
        <v>0</v>
      </c>
      <c r="K195" s="14" t="e">
        <f t="shared" si="38"/>
        <v>#DIV/0!</v>
      </c>
      <c r="L195" s="12"/>
      <c r="M195" s="13"/>
      <c r="N195" s="13">
        <f t="shared" si="31"/>
        <v>0</v>
      </c>
      <c r="O195" s="15"/>
      <c r="P195" s="15"/>
      <c r="Q195" s="15">
        <f t="shared" si="29"/>
        <v>0</v>
      </c>
      <c r="R195" s="15">
        <f t="shared" si="30"/>
        <v>0</v>
      </c>
      <c r="S195" s="16" t="e">
        <f t="shared" si="32"/>
        <v>#DIV/0!</v>
      </c>
    </row>
    <row r="196" spans="1:19" ht="45" x14ac:dyDescent="0.25">
      <c r="A196" s="2">
        <v>76</v>
      </c>
      <c r="B196" s="10" t="s">
        <v>115</v>
      </c>
      <c r="C196" s="11" t="s">
        <v>41</v>
      </c>
      <c r="D196" s="12">
        <v>465.3</v>
      </c>
      <c r="E196" s="13">
        <v>64.14</v>
      </c>
      <c r="F196" s="13">
        <f t="shared" si="34"/>
        <v>29844.342000000001</v>
      </c>
      <c r="G196" s="13">
        <v>64.14</v>
      </c>
      <c r="H196" s="13">
        <f>G196*1.07</f>
        <v>68.629800000000003</v>
      </c>
      <c r="I196" s="13">
        <f t="shared" si="27"/>
        <v>29844.342000000001</v>
      </c>
      <c r="J196" s="13">
        <f t="shared" si="28"/>
        <v>31933.445940000001</v>
      </c>
      <c r="K196" s="14">
        <f t="shared" si="38"/>
        <v>107</v>
      </c>
      <c r="L196" s="12">
        <v>215.17</v>
      </c>
      <c r="M196" s="13">
        <v>44.29</v>
      </c>
      <c r="N196" s="13">
        <f t="shared" si="31"/>
        <v>9529.8792999999987</v>
      </c>
      <c r="O196" s="15">
        <v>44.29</v>
      </c>
      <c r="P196" s="15">
        <v>38.06</v>
      </c>
      <c r="Q196" s="15">
        <f t="shared" si="29"/>
        <v>9529.8792999999987</v>
      </c>
      <c r="R196" s="15">
        <f t="shared" si="30"/>
        <v>8189.3702000000003</v>
      </c>
      <c r="S196" s="16">
        <f t="shared" si="32"/>
        <v>85.933619327161907</v>
      </c>
    </row>
    <row r="197" spans="1:19" ht="30" x14ac:dyDescent="0.25">
      <c r="A197" s="2">
        <v>77</v>
      </c>
      <c r="B197" s="10" t="s">
        <v>26</v>
      </c>
      <c r="C197" s="11" t="s">
        <v>42</v>
      </c>
      <c r="D197" s="12">
        <v>355.81200000000001</v>
      </c>
      <c r="E197" s="13">
        <v>62.03</v>
      </c>
      <c r="F197" s="13">
        <f t="shared" si="34"/>
        <v>22071.018360000002</v>
      </c>
      <c r="G197" s="13">
        <v>62.03</v>
      </c>
      <c r="H197" s="13">
        <v>64.67</v>
      </c>
      <c r="I197" s="13">
        <f t="shared" si="27"/>
        <v>22071.018360000002</v>
      </c>
      <c r="J197" s="13">
        <f t="shared" si="28"/>
        <v>23010.36204</v>
      </c>
      <c r="K197" s="14">
        <f t="shared" si="38"/>
        <v>104.25600515879414</v>
      </c>
      <c r="L197" s="12">
        <v>146.17500000000001</v>
      </c>
      <c r="M197" s="13">
        <v>58.66</v>
      </c>
      <c r="N197" s="13">
        <f t="shared" si="31"/>
        <v>8574.6255000000001</v>
      </c>
      <c r="O197" s="15">
        <v>58.66</v>
      </c>
      <c r="P197" s="15">
        <v>62.46</v>
      </c>
      <c r="Q197" s="15">
        <f t="shared" si="29"/>
        <v>8574.6255000000001</v>
      </c>
      <c r="R197" s="15">
        <f t="shared" si="30"/>
        <v>9130.0905000000002</v>
      </c>
      <c r="S197" s="16">
        <f t="shared" si="32"/>
        <v>106.47800886464371</v>
      </c>
    </row>
    <row r="198" spans="1:19" ht="30" x14ac:dyDescent="0.25">
      <c r="A198" s="2">
        <v>78</v>
      </c>
      <c r="B198" s="10" t="s">
        <v>32</v>
      </c>
      <c r="C198" s="11" t="s">
        <v>43</v>
      </c>
      <c r="D198" s="12">
        <v>254.1</v>
      </c>
      <c r="E198" s="13">
        <v>55.35</v>
      </c>
      <c r="F198" s="13">
        <f t="shared" si="34"/>
        <v>14064.434999999999</v>
      </c>
      <c r="G198" s="13">
        <v>55.23</v>
      </c>
      <c r="H198" s="13">
        <f>55.23</f>
        <v>55.23</v>
      </c>
      <c r="I198" s="13">
        <f t="shared" ref="I198:I218" si="39">G198*D198</f>
        <v>14033.942999999999</v>
      </c>
      <c r="J198" s="13">
        <f t="shared" ref="J198:J218" si="40">H198*D198</f>
        <v>14033.942999999999</v>
      </c>
      <c r="K198" s="14">
        <f t="shared" si="38"/>
        <v>99.783197831978313</v>
      </c>
      <c r="L198" s="12">
        <v>35.6</v>
      </c>
      <c r="M198" s="13">
        <v>109.45</v>
      </c>
      <c r="N198" s="13">
        <f t="shared" si="31"/>
        <v>3896.42</v>
      </c>
      <c r="O198" s="15">
        <v>109.45</v>
      </c>
      <c r="P198" s="15">
        <f>122.56</f>
        <v>122.56</v>
      </c>
      <c r="Q198" s="15">
        <f t="shared" si="29"/>
        <v>3896.42</v>
      </c>
      <c r="R198" s="15">
        <f t="shared" si="30"/>
        <v>4363.1360000000004</v>
      </c>
      <c r="S198" s="16">
        <f t="shared" si="32"/>
        <v>111.9780721790772</v>
      </c>
    </row>
    <row r="199" spans="1:19" ht="60" x14ac:dyDescent="0.25">
      <c r="A199" s="2">
        <v>79</v>
      </c>
      <c r="B199" s="10" t="s">
        <v>232</v>
      </c>
      <c r="C199" s="11" t="s">
        <v>43</v>
      </c>
      <c r="D199" s="12">
        <v>19.48</v>
      </c>
      <c r="E199" s="13">
        <v>50.53</v>
      </c>
      <c r="F199" s="13">
        <f t="shared" si="34"/>
        <v>984.32440000000008</v>
      </c>
      <c r="G199" s="13">
        <v>50.21</v>
      </c>
      <c r="H199" s="13">
        <f>50.21</f>
        <v>50.21</v>
      </c>
      <c r="I199" s="13">
        <f t="shared" si="39"/>
        <v>978.09080000000006</v>
      </c>
      <c r="J199" s="13">
        <f t="shared" si="40"/>
        <v>978.09080000000006</v>
      </c>
      <c r="K199" s="14">
        <f t="shared" si="38"/>
        <v>99.366712843855126</v>
      </c>
      <c r="L199" s="12">
        <v>10.199999999999999</v>
      </c>
      <c r="M199" s="13">
        <v>91.36</v>
      </c>
      <c r="N199" s="13">
        <f t="shared" si="31"/>
        <v>931.87199999999996</v>
      </c>
      <c r="O199" s="15">
        <v>91.36</v>
      </c>
      <c r="P199" s="15">
        <f>96.76</f>
        <v>96.76</v>
      </c>
      <c r="Q199" s="15">
        <f t="shared" ref="Q199:Q218" si="41">O199*L199</f>
        <v>931.87199999999996</v>
      </c>
      <c r="R199" s="15">
        <f t="shared" ref="R199:R218" si="42">P199*L199</f>
        <v>986.952</v>
      </c>
      <c r="S199" s="16">
        <f t="shared" si="32"/>
        <v>105.91068301225918</v>
      </c>
    </row>
    <row r="200" spans="1:19" ht="30" x14ac:dyDescent="0.25">
      <c r="A200" s="2">
        <v>80</v>
      </c>
      <c r="B200" s="10" t="s">
        <v>33</v>
      </c>
      <c r="C200" s="11" t="s">
        <v>44</v>
      </c>
      <c r="D200" s="12">
        <v>127.88</v>
      </c>
      <c r="E200" s="13">
        <v>58.65</v>
      </c>
      <c r="F200" s="13">
        <f t="shared" si="34"/>
        <v>7500.1619999999994</v>
      </c>
      <c r="G200" s="13">
        <v>58.65</v>
      </c>
      <c r="H200" s="13">
        <v>51.98</v>
      </c>
      <c r="I200" s="13">
        <f t="shared" si="39"/>
        <v>7500.1619999999994</v>
      </c>
      <c r="J200" s="13">
        <f t="shared" si="40"/>
        <v>6647.2023999999992</v>
      </c>
      <c r="K200" s="14">
        <f t="shared" si="38"/>
        <v>88.627450980392155</v>
      </c>
      <c r="L200" s="12">
        <v>56.23</v>
      </c>
      <c r="M200" s="13">
        <v>61.47</v>
      </c>
      <c r="N200" s="13">
        <f t="shared" ref="N200:N218" si="43">L200*M200</f>
        <v>3456.4580999999998</v>
      </c>
      <c r="O200" s="15">
        <v>59.31</v>
      </c>
      <c r="P200" s="15">
        <v>59.31</v>
      </c>
      <c r="Q200" s="15">
        <f t="shared" si="41"/>
        <v>3335.0012999999999</v>
      </c>
      <c r="R200" s="15">
        <f t="shared" si="42"/>
        <v>3335.0012999999999</v>
      </c>
      <c r="S200" s="16">
        <f t="shared" si="32"/>
        <v>100</v>
      </c>
    </row>
    <row r="201" spans="1:19" ht="45" x14ac:dyDescent="0.25">
      <c r="A201" s="2">
        <v>81</v>
      </c>
      <c r="B201" s="10" t="s">
        <v>202</v>
      </c>
      <c r="C201" s="11" t="s">
        <v>83</v>
      </c>
      <c r="D201" s="12">
        <v>461.6</v>
      </c>
      <c r="E201" s="13">
        <v>37.450000000000003</v>
      </c>
      <c r="F201" s="13">
        <f t="shared" si="34"/>
        <v>17286.920000000002</v>
      </c>
      <c r="G201" s="13">
        <v>37.450000000000003</v>
      </c>
      <c r="H201" s="13">
        <v>42.09</v>
      </c>
      <c r="I201" s="13">
        <f t="shared" si="39"/>
        <v>17286.920000000002</v>
      </c>
      <c r="J201" s="13">
        <f t="shared" si="40"/>
        <v>19428.744000000002</v>
      </c>
      <c r="K201" s="14">
        <f t="shared" si="38"/>
        <v>112.38985313751668</v>
      </c>
      <c r="L201" s="12">
        <v>223.5</v>
      </c>
      <c r="M201" s="13">
        <v>59.23</v>
      </c>
      <c r="N201" s="13">
        <f t="shared" si="43"/>
        <v>13237.904999999999</v>
      </c>
      <c r="O201" s="15">
        <v>59.23</v>
      </c>
      <c r="P201" s="15">
        <v>66.569999999999993</v>
      </c>
      <c r="Q201" s="15">
        <f t="shared" si="41"/>
        <v>13237.904999999999</v>
      </c>
      <c r="R201" s="15">
        <f t="shared" si="42"/>
        <v>14878.394999999999</v>
      </c>
      <c r="S201" s="16">
        <f t="shared" si="32"/>
        <v>112.39236873206147</v>
      </c>
    </row>
    <row r="202" spans="1:19" ht="45" x14ac:dyDescent="0.25">
      <c r="A202" s="17">
        <v>82</v>
      </c>
      <c r="B202" s="18" t="s">
        <v>115</v>
      </c>
      <c r="C202" s="11" t="s">
        <v>45</v>
      </c>
      <c r="D202" s="12">
        <v>205.39</v>
      </c>
      <c r="E202" s="13">
        <v>40.028559999999999</v>
      </c>
      <c r="F202" s="13">
        <f t="shared" si="34"/>
        <v>8221.4659383999988</v>
      </c>
      <c r="G202" s="13">
        <v>40.028559999999999</v>
      </c>
      <c r="H202" s="13">
        <f>G202*1.07</f>
        <v>42.830559200000003</v>
      </c>
      <c r="I202" s="13">
        <f t="shared" si="39"/>
        <v>8221.4659383999988</v>
      </c>
      <c r="J202" s="13">
        <f t="shared" si="40"/>
        <v>8796.968554088</v>
      </c>
      <c r="K202" s="14">
        <f t="shared" si="38"/>
        <v>107</v>
      </c>
      <c r="L202" s="12">
        <v>56.74</v>
      </c>
      <c r="M202" s="13">
        <v>45.95</v>
      </c>
      <c r="N202" s="13">
        <f t="shared" si="43"/>
        <v>2607.2030000000004</v>
      </c>
      <c r="O202" s="15">
        <v>45.95</v>
      </c>
      <c r="P202" s="15">
        <f>O202*1.08</f>
        <v>49.626000000000005</v>
      </c>
      <c r="Q202" s="15">
        <f t="shared" si="41"/>
        <v>2607.2030000000004</v>
      </c>
      <c r="R202" s="15">
        <f t="shared" si="42"/>
        <v>2815.7792400000003</v>
      </c>
      <c r="S202" s="16">
        <f t="shared" si="32"/>
        <v>107.99999999999999</v>
      </c>
    </row>
    <row r="203" spans="1:19" ht="45" x14ac:dyDescent="0.25">
      <c r="A203" s="20"/>
      <c r="B203" s="22"/>
      <c r="C203" s="11" t="s">
        <v>65</v>
      </c>
      <c r="D203" s="12">
        <f>21.79+11.56</f>
        <v>33.35</v>
      </c>
      <c r="E203" s="13">
        <v>63.32</v>
      </c>
      <c r="F203" s="13">
        <f t="shared" si="34"/>
        <v>2111.7220000000002</v>
      </c>
      <c r="G203" s="13">
        <v>63.32</v>
      </c>
      <c r="H203" s="13">
        <f t="shared" ref="H203:H215" si="44">G203*1.07</f>
        <v>67.752400000000009</v>
      </c>
      <c r="I203" s="13">
        <f t="shared" si="39"/>
        <v>2111.7220000000002</v>
      </c>
      <c r="J203" s="13">
        <f t="shared" si="40"/>
        <v>2259.5425400000004</v>
      </c>
      <c r="K203" s="14">
        <f t="shared" si="38"/>
        <v>107</v>
      </c>
      <c r="L203" s="12"/>
      <c r="M203" s="13"/>
      <c r="N203" s="13">
        <f t="shared" si="43"/>
        <v>0</v>
      </c>
      <c r="O203" s="15"/>
      <c r="P203" s="15"/>
      <c r="Q203" s="15">
        <f t="shared" si="41"/>
        <v>0</v>
      </c>
      <c r="R203" s="15">
        <f t="shared" si="42"/>
        <v>0</v>
      </c>
      <c r="S203" s="16" t="e">
        <f t="shared" si="32"/>
        <v>#DIV/0!</v>
      </c>
    </row>
    <row r="204" spans="1:19" ht="45" x14ac:dyDescent="0.25">
      <c r="A204" s="20"/>
      <c r="B204" s="22"/>
      <c r="C204" s="11" t="s">
        <v>66</v>
      </c>
      <c r="D204" s="12">
        <v>13.51</v>
      </c>
      <c r="E204" s="13">
        <v>57.405919999999995</v>
      </c>
      <c r="F204" s="13">
        <f t="shared" si="34"/>
        <v>775.55397919999996</v>
      </c>
      <c r="G204" s="13">
        <v>57.405919999999995</v>
      </c>
      <c r="H204" s="13">
        <f t="shared" si="44"/>
        <v>61.424334399999999</v>
      </c>
      <c r="I204" s="13">
        <f t="shared" si="39"/>
        <v>775.55397919999996</v>
      </c>
      <c r="J204" s="13">
        <f t="shared" si="40"/>
        <v>829.84275774399998</v>
      </c>
      <c r="K204" s="14">
        <f t="shared" si="38"/>
        <v>107</v>
      </c>
      <c r="L204" s="12"/>
      <c r="M204" s="13"/>
      <c r="N204" s="13">
        <f t="shared" si="43"/>
        <v>0</v>
      </c>
      <c r="O204" s="15"/>
      <c r="P204" s="15"/>
      <c r="Q204" s="15">
        <f t="shared" si="41"/>
        <v>0</v>
      </c>
      <c r="R204" s="15">
        <f t="shared" si="42"/>
        <v>0</v>
      </c>
      <c r="S204" s="16" t="e">
        <f t="shared" si="32"/>
        <v>#DIV/0!</v>
      </c>
    </row>
    <row r="205" spans="1:19" ht="45" x14ac:dyDescent="0.25">
      <c r="A205" s="20"/>
      <c r="B205" s="22"/>
      <c r="C205" s="11" t="s">
        <v>67</v>
      </c>
      <c r="D205" s="12">
        <v>20.78</v>
      </c>
      <c r="E205" s="13">
        <v>49.580959999999997</v>
      </c>
      <c r="F205" s="13">
        <f t="shared" si="34"/>
        <v>1030.2923487999999</v>
      </c>
      <c r="G205" s="13">
        <v>49.580959999999997</v>
      </c>
      <c r="H205" s="13">
        <f t="shared" si="44"/>
        <v>53.051627199999999</v>
      </c>
      <c r="I205" s="13">
        <f t="shared" si="39"/>
        <v>1030.2923487999999</v>
      </c>
      <c r="J205" s="13">
        <f t="shared" si="40"/>
        <v>1102.4128132160001</v>
      </c>
      <c r="K205" s="14">
        <f t="shared" si="38"/>
        <v>107</v>
      </c>
      <c r="L205" s="12"/>
      <c r="M205" s="13"/>
      <c r="N205" s="13">
        <f t="shared" si="43"/>
        <v>0</v>
      </c>
      <c r="O205" s="15"/>
      <c r="P205" s="15"/>
      <c r="Q205" s="15">
        <f t="shared" si="41"/>
        <v>0</v>
      </c>
      <c r="R205" s="15">
        <f t="shared" si="42"/>
        <v>0</v>
      </c>
      <c r="S205" s="16" t="e">
        <f t="shared" ref="S205:S218" si="45">R205/Q205*100</f>
        <v>#DIV/0!</v>
      </c>
    </row>
    <row r="206" spans="1:19" ht="45" x14ac:dyDescent="0.25">
      <c r="A206" s="20"/>
      <c r="B206" s="22"/>
      <c r="C206" s="11" t="s">
        <v>68</v>
      </c>
      <c r="D206" s="12">
        <v>14.84</v>
      </c>
      <c r="E206" s="13">
        <v>42.156399999999998</v>
      </c>
      <c r="F206" s="13">
        <f t="shared" si="34"/>
        <v>625.60097599999995</v>
      </c>
      <c r="G206" s="13">
        <v>42.156399999999998</v>
      </c>
      <c r="H206" s="13">
        <f t="shared" si="44"/>
        <v>45.107348000000002</v>
      </c>
      <c r="I206" s="13">
        <f t="shared" si="39"/>
        <v>625.60097599999995</v>
      </c>
      <c r="J206" s="13">
        <f t="shared" si="40"/>
        <v>669.39304432000006</v>
      </c>
      <c r="K206" s="14">
        <f t="shared" si="38"/>
        <v>107</v>
      </c>
      <c r="L206" s="12"/>
      <c r="M206" s="13"/>
      <c r="N206" s="13">
        <f t="shared" si="43"/>
        <v>0</v>
      </c>
      <c r="O206" s="15"/>
      <c r="P206" s="15"/>
      <c r="Q206" s="15">
        <f t="shared" si="41"/>
        <v>0</v>
      </c>
      <c r="R206" s="15">
        <f t="shared" si="42"/>
        <v>0</v>
      </c>
      <c r="S206" s="16" t="e">
        <f t="shared" si="45"/>
        <v>#DIV/0!</v>
      </c>
    </row>
    <row r="207" spans="1:19" ht="45" x14ac:dyDescent="0.25">
      <c r="A207" s="20"/>
      <c r="B207" s="22"/>
      <c r="C207" s="11" t="s">
        <v>69</v>
      </c>
      <c r="D207" s="12">
        <v>17.86</v>
      </c>
      <c r="E207" s="13">
        <v>47</v>
      </c>
      <c r="F207" s="13">
        <f t="shared" si="34"/>
        <v>839.42</v>
      </c>
      <c r="G207" s="13">
        <v>47</v>
      </c>
      <c r="H207" s="13">
        <f t="shared" si="44"/>
        <v>50.290000000000006</v>
      </c>
      <c r="I207" s="13">
        <f t="shared" si="39"/>
        <v>839.42</v>
      </c>
      <c r="J207" s="13">
        <f t="shared" si="40"/>
        <v>898.1794000000001</v>
      </c>
      <c r="K207" s="14">
        <f t="shared" si="38"/>
        <v>107</v>
      </c>
      <c r="L207" s="12"/>
      <c r="M207" s="13"/>
      <c r="N207" s="13">
        <f t="shared" si="43"/>
        <v>0</v>
      </c>
      <c r="O207" s="15"/>
      <c r="P207" s="15"/>
      <c r="Q207" s="15">
        <f t="shared" si="41"/>
        <v>0</v>
      </c>
      <c r="R207" s="15">
        <f t="shared" si="42"/>
        <v>0</v>
      </c>
      <c r="S207" s="16" t="e">
        <f t="shared" si="45"/>
        <v>#DIV/0!</v>
      </c>
    </row>
    <row r="208" spans="1:19" ht="30" x14ac:dyDescent="0.25">
      <c r="A208" s="20"/>
      <c r="B208" s="22"/>
      <c r="C208" s="11" t="s">
        <v>70</v>
      </c>
      <c r="D208" s="12">
        <v>12.65</v>
      </c>
      <c r="E208" s="13">
        <v>49.031839999999995</v>
      </c>
      <c r="F208" s="13">
        <f t="shared" si="34"/>
        <v>620.25277599999993</v>
      </c>
      <c r="G208" s="13">
        <v>49.031839999999995</v>
      </c>
      <c r="H208" s="13">
        <f t="shared" si="44"/>
        <v>52.4640688</v>
      </c>
      <c r="I208" s="13">
        <f t="shared" si="39"/>
        <v>620.25277599999993</v>
      </c>
      <c r="J208" s="13">
        <f t="shared" si="40"/>
        <v>663.67047032000005</v>
      </c>
      <c r="K208" s="14">
        <f t="shared" si="38"/>
        <v>107</v>
      </c>
      <c r="L208" s="12"/>
      <c r="M208" s="13"/>
      <c r="N208" s="13">
        <f t="shared" si="43"/>
        <v>0</v>
      </c>
      <c r="O208" s="15"/>
      <c r="P208" s="15"/>
      <c r="Q208" s="15">
        <f t="shared" si="41"/>
        <v>0</v>
      </c>
      <c r="R208" s="15">
        <f t="shared" si="42"/>
        <v>0</v>
      </c>
      <c r="S208" s="16" t="e">
        <f t="shared" si="45"/>
        <v>#DIV/0!</v>
      </c>
    </row>
    <row r="209" spans="1:19" ht="30" x14ac:dyDescent="0.25">
      <c r="A209" s="20"/>
      <c r="B209" s="22"/>
      <c r="C209" s="11" t="s">
        <v>71</v>
      </c>
      <c r="D209" s="12">
        <v>14.7</v>
      </c>
      <c r="E209" s="13">
        <v>39.536639999999998</v>
      </c>
      <c r="F209" s="13">
        <f t="shared" si="34"/>
        <v>581.18860799999993</v>
      </c>
      <c r="G209" s="13">
        <v>39.536639999999998</v>
      </c>
      <c r="H209" s="13">
        <f t="shared" si="44"/>
        <v>42.304204800000001</v>
      </c>
      <c r="I209" s="13">
        <f t="shared" si="39"/>
        <v>581.18860799999993</v>
      </c>
      <c r="J209" s="13">
        <f t="shared" si="40"/>
        <v>621.87181055999997</v>
      </c>
      <c r="K209" s="14">
        <f t="shared" si="38"/>
        <v>107</v>
      </c>
      <c r="L209" s="12"/>
      <c r="M209" s="13"/>
      <c r="N209" s="13">
        <f t="shared" si="43"/>
        <v>0</v>
      </c>
      <c r="O209" s="15"/>
      <c r="P209" s="15"/>
      <c r="Q209" s="15">
        <f t="shared" si="41"/>
        <v>0</v>
      </c>
      <c r="R209" s="15">
        <f t="shared" si="42"/>
        <v>0</v>
      </c>
      <c r="S209" s="16" t="e">
        <f t="shared" si="45"/>
        <v>#DIV/0!</v>
      </c>
    </row>
    <row r="210" spans="1:19" ht="30" x14ac:dyDescent="0.25">
      <c r="A210" s="20"/>
      <c r="B210" s="22"/>
      <c r="C210" s="11" t="s">
        <v>72</v>
      </c>
      <c r="D210" s="12">
        <v>33.54</v>
      </c>
      <c r="E210" s="13">
        <v>40.028559999999999</v>
      </c>
      <c r="F210" s="13">
        <f>D210*E210</f>
        <v>1342.5579023999999</v>
      </c>
      <c r="G210" s="13">
        <v>40.028559999999999</v>
      </c>
      <c r="H210" s="13">
        <f t="shared" si="44"/>
        <v>42.830559200000003</v>
      </c>
      <c r="I210" s="13">
        <f t="shared" si="39"/>
        <v>1342.5579023999999</v>
      </c>
      <c r="J210" s="13">
        <f t="shared" si="40"/>
        <v>1436.5369555680002</v>
      </c>
      <c r="K210" s="14">
        <f t="shared" si="38"/>
        <v>107</v>
      </c>
      <c r="L210" s="12"/>
      <c r="M210" s="13"/>
      <c r="N210" s="13">
        <f t="shared" si="43"/>
        <v>0</v>
      </c>
      <c r="O210" s="15"/>
      <c r="P210" s="15"/>
      <c r="Q210" s="15">
        <f t="shared" si="41"/>
        <v>0</v>
      </c>
      <c r="R210" s="15">
        <f t="shared" si="42"/>
        <v>0</v>
      </c>
      <c r="S210" s="16" t="e">
        <f t="shared" si="45"/>
        <v>#DIV/0!</v>
      </c>
    </row>
    <row r="211" spans="1:19" ht="30" x14ac:dyDescent="0.25">
      <c r="A211" s="20"/>
      <c r="B211" s="22"/>
      <c r="C211" s="11" t="s">
        <v>73</v>
      </c>
      <c r="D211" s="12">
        <v>20.27</v>
      </c>
      <c r="E211" s="13">
        <v>48.780159999999995</v>
      </c>
      <c r="F211" s="13">
        <f t="shared" si="34"/>
        <v>988.77384319999987</v>
      </c>
      <c r="G211" s="13">
        <v>48.780159999999995</v>
      </c>
      <c r="H211" s="13">
        <f t="shared" si="44"/>
        <v>52.194771199999998</v>
      </c>
      <c r="I211" s="13">
        <f t="shared" si="39"/>
        <v>988.77384319999987</v>
      </c>
      <c r="J211" s="13">
        <f t="shared" si="40"/>
        <v>1057.9880122239999</v>
      </c>
      <c r="K211" s="14">
        <f t="shared" si="38"/>
        <v>107</v>
      </c>
      <c r="L211" s="12"/>
      <c r="M211" s="13"/>
      <c r="N211" s="13">
        <f t="shared" si="43"/>
        <v>0</v>
      </c>
      <c r="O211" s="15"/>
      <c r="P211" s="15"/>
      <c r="Q211" s="15">
        <f t="shared" si="41"/>
        <v>0</v>
      </c>
      <c r="R211" s="15">
        <f t="shared" si="42"/>
        <v>0</v>
      </c>
      <c r="S211" s="16" t="e">
        <f t="shared" si="45"/>
        <v>#DIV/0!</v>
      </c>
    </row>
    <row r="212" spans="1:19" ht="270" x14ac:dyDescent="0.25">
      <c r="A212" s="20"/>
      <c r="B212" s="22"/>
      <c r="C212" s="11" t="s">
        <v>74</v>
      </c>
      <c r="D212" s="12">
        <f>218.25-57.42-39.73</f>
        <v>121.1</v>
      </c>
      <c r="E212" s="13">
        <v>53.687919999999998</v>
      </c>
      <c r="F212" s="13">
        <f t="shared" si="34"/>
        <v>6501.6071119999997</v>
      </c>
      <c r="G212" s="13">
        <v>53.687919999999998</v>
      </c>
      <c r="H212" s="13">
        <f t="shared" si="44"/>
        <v>57.446074400000001</v>
      </c>
      <c r="I212" s="13">
        <f t="shared" si="39"/>
        <v>6501.6071119999997</v>
      </c>
      <c r="J212" s="13">
        <f t="shared" si="40"/>
        <v>6956.71960984</v>
      </c>
      <c r="K212" s="14">
        <f t="shared" si="38"/>
        <v>107</v>
      </c>
      <c r="L212" s="12"/>
      <c r="M212" s="13"/>
      <c r="N212" s="13">
        <f t="shared" si="43"/>
        <v>0</v>
      </c>
      <c r="O212" s="15"/>
      <c r="P212" s="15"/>
      <c r="Q212" s="15">
        <f t="shared" si="41"/>
        <v>0</v>
      </c>
      <c r="R212" s="15">
        <f t="shared" si="42"/>
        <v>0</v>
      </c>
      <c r="S212" s="16" t="e">
        <f t="shared" si="45"/>
        <v>#DIV/0!</v>
      </c>
    </row>
    <row r="213" spans="1:19" ht="30" x14ac:dyDescent="0.25">
      <c r="A213" s="20"/>
      <c r="B213" s="22"/>
      <c r="C213" s="11" t="s">
        <v>126</v>
      </c>
      <c r="D213" s="12">
        <v>57.42</v>
      </c>
      <c r="E213" s="13">
        <v>56.52</v>
      </c>
      <c r="F213" s="13">
        <f t="shared" si="34"/>
        <v>3245.3784000000001</v>
      </c>
      <c r="G213" s="13">
        <v>56.52</v>
      </c>
      <c r="H213" s="13">
        <f t="shared" si="44"/>
        <v>60.476400000000005</v>
      </c>
      <c r="I213" s="13">
        <f t="shared" si="39"/>
        <v>3245.3784000000001</v>
      </c>
      <c r="J213" s="13">
        <f t="shared" si="40"/>
        <v>3472.5548880000006</v>
      </c>
      <c r="K213" s="14">
        <f t="shared" si="38"/>
        <v>107</v>
      </c>
      <c r="L213" s="12"/>
      <c r="M213" s="13"/>
      <c r="N213" s="13">
        <f t="shared" si="43"/>
        <v>0</v>
      </c>
      <c r="O213" s="15"/>
      <c r="P213" s="15"/>
      <c r="Q213" s="15">
        <f t="shared" si="41"/>
        <v>0</v>
      </c>
      <c r="R213" s="15">
        <f t="shared" si="42"/>
        <v>0</v>
      </c>
      <c r="S213" s="16" t="e">
        <f t="shared" si="45"/>
        <v>#DIV/0!</v>
      </c>
    </row>
    <row r="214" spans="1:19" ht="45" x14ac:dyDescent="0.25">
      <c r="A214" s="20"/>
      <c r="B214" s="22"/>
      <c r="C214" s="11" t="s">
        <v>225</v>
      </c>
      <c r="D214" s="12">
        <v>39.729999999999997</v>
      </c>
      <c r="E214" s="13">
        <v>46.32056</v>
      </c>
      <c r="F214" s="13">
        <f t="shared" si="34"/>
        <v>1840.3158487999999</v>
      </c>
      <c r="G214" s="13">
        <v>46.32056</v>
      </c>
      <c r="H214" s="13">
        <f t="shared" si="44"/>
        <v>49.5629992</v>
      </c>
      <c r="I214" s="13">
        <f t="shared" si="39"/>
        <v>1840.3158487999999</v>
      </c>
      <c r="J214" s="13">
        <f t="shared" si="40"/>
        <v>1969.1379582159998</v>
      </c>
      <c r="K214" s="14">
        <f t="shared" si="38"/>
        <v>107</v>
      </c>
      <c r="L214" s="12"/>
      <c r="M214" s="13"/>
      <c r="N214" s="13">
        <f t="shared" si="43"/>
        <v>0</v>
      </c>
      <c r="O214" s="15"/>
      <c r="P214" s="15"/>
      <c r="Q214" s="15">
        <f t="shared" si="41"/>
        <v>0</v>
      </c>
      <c r="R214" s="15">
        <f t="shared" si="42"/>
        <v>0</v>
      </c>
      <c r="S214" s="16" t="e">
        <f t="shared" si="45"/>
        <v>#DIV/0!</v>
      </c>
    </row>
    <row r="215" spans="1:19" ht="150" x14ac:dyDescent="0.25">
      <c r="A215" s="20"/>
      <c r="B215" s="22"/>
      <c r="C215" s="35" t="s">
        <v>122</v>
      </c>
      <c r="D215" s="36">
        <v>99.91</v>
      </c>
      <c r="E215" s="37">
        <v>53.813759999999995</v>
      </c>
      <c r="F215" s="37">
        <f t="shared" si="34"/>
        <v>5376.5327615999995</v>
      </c>
      <c r="G215" s="37">
        <v>53.813759999999995</v>
      </c>
      <c r="H215" s="13">
        <f t="shared" si="44"/>
        <v>57.580723200000001</v>
      </c>
      <c r="I215" s="13">
        <f t="shared" si="39"/>
        <v>5376.5327615999995</v>
      </c>
      <c r="J215" s="13">
        <f t="shared" si="40"/>
        <v>5752.8900549119999</v>
      </c>
      <c r="K215" s="38">
        <f t="shared" si="38"/>
        <v>107</v>
      </c>
      <c r="L215" s="36"/>
      <c r="M215" s="37"/>
      <c r="N215" s="13">
        <f t="shared" si="43"/>
        <v>0</v>
      </c>
      <c r="O215" s="39"/>
      <c r="P215" s="39"/>
      <c r="Q215" s="15">
        <f t="shared" si="41"/>
        <v>0</v>
      </c>
      <c r="R215" s="15">
        <f t="shared" si="42"/>
        <v>0</v>
      </c>
      <c r="S215" s="40" t="e">
        <f t="shared" si="45"/>
        <v>#DIV/0!</v>
      </c>
    </row>
    <row r="216" spans="1:19" ht="60" x14ac:dyDescent="0.25">
      <c r="A216" s="17" t="s">
        <v>277</v>
      </c>
      <c r="B216" s="18" t="s">
        <v>275</v>
      </c>
      <c r="C216" s="17" t="s">
        <v>276</v>
      </c>
      <c r="D216" s="41">
        <f>3.352+1.085</f>
        <v>4.4369999999999994</v>
      </c>
      <c r="E216" s="42">
        <v>37.22</v>
      </c>
      <c r="F216" s="37">
        <f t="shared" si="34"/>
        <v>165.14513999999997</v>
      </c>
      <c r="G216" s="42">
        <v>37.22</v>
      </c>
      <c r="H216" s="42">
        <v>40.130000000000003</v>
      </c>
      <c r="I216" s="13">
        <f t="shared" si="39"/>
        <v>165.14513999999997</v>
      </c>
      <c r="J216" s="13">
        <f t="shared" si="40"/>
        <v>178.05680999999998</v>
      </c>
      <c r="K216" s="38">
        <f t="shared" si="38"/>
        <v>107.81837721655026</v>
      </c>
      <c r="L216" s="41">
        <v>3.7320000000000002</v>
      </c>
      <c r="M216" s="42">
        <v>32.869999999999997</v>
      </c>
      <c r="N216" s="13">
        <f t="shared" si="43"/>
        <v>122.67084</v>
      </c>
      <c r="O216" s="17">
        <v>32.869999999999997</v>
      </c>
      <c r="P216" s="39">
        <v>36.6</v>
      </c>
      <c r="Q216" s="15">
        <f t="shared" si="41"/>
        <v>122.67084</v>
      </c>
      <c r="R216" s="15">
        <f t="shared" si="42"/>
        <v>136.59120000000001</v>
      </c>
      <c r="S216" s="40">
        <f t="shared" si="45"/>
        <v>111.34773349558868</v>
      </c>
    </row>
    <row r="217" spans="1:19" ht="45" x14ac:dyDescent="0.25">
      <c r="A217" s="17" t="s">
        <v>278</v>
      </c>
      <c r="B217" s="18" t="s">
        <v>286</v>
      </c>
      <c r="C217" s="17" t="s">
        <v>283</v>
      </c>
      <c r="D217" s="41">
        <v>103.56</v>
      </c>
      <c r="E217" s="42">
        <v>45.34</v>
      </c>
      <c r="F217" s="37">
        <f>D217*E217</f>
        <v>4695.4104000000007</v>
      </c>
      <c r="G217" s="42">
        <v>45.34</v>
      </c>
      <c r="H217" s="42">
        <v>50.72</v>
      </c>
      <c r="I217" s="13">
        <f t="shared" si="39"/>
        <v>4695.4104000000007</v>
      </c>
      <c r="J217" s="13">
        <f t="shared" si="40"/>
        <v>5252.5631999999996</v>
      </c>
      <c r="K217" s="38">
        <f t="shared" si="38"/>
        <v>111.8659020732245</v>
      </c>
      <c r="L217" s="41">
        <v>0.55300000000000005</v>
      </c>
      <c r="M217" s="42">
        <v>80.010000000000005</v>
      </c>
      <c r="N217" s="13">
        <f t="shared" si="43"/>
        <v>44.245530000000009</v>
      </c>
      <c r="O217" s="17">
        <v>80.010000000000005</v>
      </c>
      <c r="P217" s="17">
        <v>89.93</v>
      </c>
      <c r="Q217" s="15">
        <f t="shared" si="41"/>
        <v>44.245530000000009</v>
      </c>
      <c r="R217" s="15">
        <f t="shared" si="42"/>
        <v>49.731290000000008</v>
      </c>
      <c r="S217" s="40">
        <f t="shared" si="45"/>
        <v>112.39845019372578</v>
      </c>
    </row>
    <row r="218" spans="1:19" ht="120" x14ac:dyDescent="0.25">
      <c r="A218" s="2" t="s">
        <v>282</v>
      </c>
      <c r="B218" s="10" t="s">
        <v>279</v>
      </c>
      <c r="C218" s="2" t="s">
        <v>280</v>
      </c>
      <c r="D218" s="41">
        <f>161.48+11.16</f>
        <v>172.64</v>
      </c>
      <c r="E218" s="7">
        <v>63.88</v>
      </c>
      <c r="F218" s="7">
        <f>D218*E218</f>
        <v>11028.243199999999</v>
      </c>
      <c r="G218" s="7">
        <v>63.88</v>
      </c>
      <c r="H218" s="13">
        <v>68.3</v>
      </c>
      <c r="I218" s="13">
        <f t="shared" si="39"/>
        <v>11028.243199999999</v>
      </c>
      <c r="J218" s="13">
        <f t="shared" si="40"/>
        <v>11791.311999999998</v>
      </c>
      <c r="K218" s="38">
        <f t="shared" si="38"/>
        <v>106.91922354414527</v>
      </c>
      <c r="L218" s="43">
        <v>0</v>
      </c>
      <c r="M218" s="7"/>
      <c r="N218" s="13">
        <f t="shared" si="43"/>
        <v>0</v>
      </c>
      <c r="O218" s="2"/>
      <c r="P218" s="2"/>
      <c r="Q218" s="15">
        <f t="shared" si="41"/>
        <v>0</v>
      </c>
      <c r="R218" s="15">
        <f t="shared" si="42"/>
        <v>0</v>
      </c>
      <c r="S218" s="40" t="e">
        <f t="shared" si="45"/>
        <v>#DIV/0!</v>
      </c>
    </row>
    <row r="219" spans="1:19" ht="15.75" thickBot="1" x14ac:dyDescent="0.3">
      <c r="A219" s="2"/>
      <c r="B219" s="10" t="s">
        <v>237</v>
      </c>
      <c r="C219" s="11"/>
      <c r="D219" s="44">
        <f>SUM(D5:D218)</f>
        <v>38908.947999999997</v>
      </c>
      <c r="E219" s="45">
        <f>F219/D219</f>
        <v>35.921743404812695</v>
      </c>
      <c r="F219" s="46">
        <f>SUM(F5:F218)</f>
        <v>1397677.2462072</v>
      </c>
      <c r="G219" s="45">
        <f>I219/D219</f>
        <v>35.878821677214198</v>
      </c>
      <c r="H219" s="45">
        <f>J219/D219</f>
        <v>39.622919253411318</v>
      </c>
      <c r="I219" s="47">
        <f>SUM(I5:I218)</f>
        <v>1396007.2069399999</v>
      </c>
      <c r="J219" s="47">
        <f>SUM(J5:J218)</f>
        <v>1541686.1048391797</v>
      </c>
      <c r="K219" s="14">
        <f>J219/I219*100</f>
        <v>110.43539726549858</v>
      </c>
      <c r="L219" s="44">
        <f>SUM(L5:L218)</f>
        <v>28941.170999999995</v>
      </c>
      <c r="M219" s="45">
        <f>N219/L219</f>
        <v>24.916327278077318</v>
      </c>
      <c r="N219" s="45">
        <f>SUM(N5:N218)</f>
        <v>721107.68844680011</v>
      </c>
      <c r="O219" s="48">
        <f>Q219/L219</f>
        <v>24.90137750289372</v>
      </c>
      <c r="P219" s="48">
        <f>R219/L219</f>
        <v>28.028455952715952</v>
      </c>
      <c r="Q219" s="49">
        <f>SUM(Q5:Q218)</f>
        <v>720675.0244468</v>
      </c>
      <c r="R219" s="50">
        <f>SUM(R5:R218)</f>
        <v>811176.33659352013</v>
      </c>
      <c r="S219" s="16">
        <f>R219/Q219*100</f>
        <v>112.55785327321286</v>
      </c>
    </row>
    <row r="220" spans="1:19" x14ac:dyDescent="0.25">
      <c r="A220" s="51"/>
      <c r="B220" s="52"/>
      <c r="C220" s="51"/>
      <c r="D220" s="53"/>
      <c r="E220" s="54"/>
      <c r="F220" s="54"/>
      <c r="G220" s="54"/>
      <c r="H220" s="54"/>
      <c r="I220" s="55">
        <f>I219+J219</f>
        <v>2937693.3117791796</v>
      </c>
      <c r="J220" s="54"/>
      <c r="K220" s="54"/>
      <c r="L220" s="53"/>
      <c r="M220" s="54"/>
      <c r="N220" s="54"/>
      <c r="O220" s="51"/>
      <c r="P220" s="51"/>
      <c r="Q220" s="51">
        <f>Q219-N219</f>
        <v>-432.66400000010617</v>
      </c>
      <c r="R220" s="51"/>
      <c r="S220" s="51"/>
    </row>
    <row r="221" spans="1:19" x14ac:dyDescent="0.25">
      <c r="A221" s="51"/>
      <c r="B221" s="52"/>
      <c r="C221" s="51"/>
      <c r="D221" s="53"/>
      <c r="E221" s="54"/>
      <c r="F221" s="54"/>
      <c r="G221" s="54"/>
      <c r="H221" s="54"/>
      <c r="I221" s="54">
        <f>I220/D219</f>
        <v>75.501740930625516</v>
      </c>
      <c r="J221" s="54"/>
      <c r="K221" s="54"/>
      <c r="L221" s="53"/>
      <c r="M221" s="54"/>
      <c r="N221" s="54"/>
      <c r="O221" s="51"/>
      <c r="P221" s="51"/>
      <c r="Q221" s="51"/>
      <c r="R221" s="51"/>
      <c r="S221" s="51"/>
    </row>
    <row r="222" spans="1:19" x14ac:dyDescent="0.25">
      <c r="A222" s="51"/>
      <c r="B222" s="52"/>
      <c r="C222" s="51"/>
      <c r="D222" s="53"/>
      <c r="E222" s="54"/>
      <c r="F222" s="54"/>
      <c r="G222" s="54"/>
      <c r="H222" s="54"/>
      <c r="I222" s="54"/>
      <c r="J222" s="54"/>
      <c r="K222" s="54"/>
      <c r="L222" s="53"/>
      <c r="M222" s="54"/>
      <c r="N222" s="54"/>
      <c r="O222" s="51"/>
      <c r="P222" s="51"/>
      <c r="Q222" s="56">
        <f>Q219+R219</f>
        <v>1531851.3610403202</v>
      </c>
      <c r="R222" s="51"/>
      <c r="S222" s="51"/>
    </row>
    <row r="223" spans="1:19" x14ac:dyDescent="0.25">
      <c r="A223" s="51"/>
      <c r="B223" s="52"/>
      <c r="C223" s="51"/>
      <c r="D223" s="53"/>
      <c r="E223" s="54"/>
      <c r="F223" s="54"/>
      <c r="G223" s="54"/>
      <c r="H223" s="54"/>
      <c r="I223" s="54"/>
      <c r="J223" s="54"/>
      <c r="K223" s="54"/>
      <c r="L223" s="53"/>
      <c r="M223" s="54"/>
      <c r="N223" s="54"/>
      <c r="O223" s="51"/>
      <c r="P223" s="51"/>
      <c r="Q223" s="51">
        <f>Q222/L219</f>
        <v>52.929833455609675</v>
      </c>
      <c r="R223" s="51"/>
      <c r="S223" s="51"/>
    </row>
    <row r="224" spans="1:19" ht="45" x14ac:dyDescent="0.25">
      <c r="A224" s="51"/>
      <c r="B224" s="10" t="s">
        <v>201</v>
      </c>
      <c r="C224" s="2">
        <v>886.12800000000004</v>
      </c>
      <c r="D224" s="43">
        <v>754.84199999999998</v>
      </c>
      <c r="E224" s="13">
        <v>705.2</v>
      </c>
      <c r="F224" s="7">
        <f>E224*D224</f>
        <v>532314.5784</v>
      </c>
      <c r="G224" s="13">
        <v>705.2</v>
      </c>
      <c r="H224" s="13">
        <f>G224*1.125</f>
        <v>793.35</v>
      </c>
      <c r="I224" s="57">
        <f>D224*G224</f>
        <v>532314.5784</v>
      </c>
      <c r="J224" s="57">
        <f>D224*H224</f>
        <v>598853.9007</v>
      </c>
      <c r="K224" s="13">
        <f>H224/G224*100</f>
        <v>112.5</v>
      </c>
      <c r="L224" s="53"/>
      <c r="M224" s="54"/>
      <c r="N224" s="54"/>
      <c r="O224" s="51"/>
      <c r="P224" s="51"/>
      <c r="Q224" s="51"/>
      <c r="R224" s="51"/>
      <c r="S224" s="51"/>
    </row>
    <row r="225" spans="1:19" ht="90" x14ac:dyDescent="0.25">
      <c r="A225" s="51"/>
      <c r="B225" s="10" t="s">
        <v>218</v>
      </c>
      <c r="C225" s="2"/>
      <c r="D225" s="43">
        <v>1274.72</v>
      </c>
      <c r="E225" s="7">
        <v>657.34</v>
      </c>
      <c r="F225" s="7">
        <f>E225*D225:D226</f>
        <v>837924.44480000006</v>
      </c>
      <c r="G225" s="13">
        <v>657.34</v>
      </c>
      <c r="H225" s="13">
        <v>710.16</v>
      </c>
      <c r="I225" s="57">
        <f>D225*G225</f>
        <v>837924.44480000006</v>
      </c>
      <c r="J225" s="57">
        <f>D225*H225</f>
        <v>905255.15519999992</v>
      </c>
      <c r="K225" s="13">
        <f>H225/G225*100</f>
        <v>108.03541546231781</v>
      </c>
      <c r="L225" s="53"/>
      <c r="M225" s="54"/>
      <c r="N225" s="54"/>
      <c r="O225" s="51"/>
      <c r="P225" s="51"/>
      <c r="Q225" s="51"/>
      <c r="R225" s="51"/>
      <c r="S225" s="51"/>
    </row>
    <row r="226" spans="1:19" x14ac:dyDescent="0.25">
      <c r="A226" s="51"/>
      <c r="B226" s="10"/>
      <c r="C226" s="2"/>
      <c r="D226" s="43">
        <f>SUM(D224:D225)</f>
        <v>2029.5619999999999</v>
      </c>
      <c r="E226" s="13">
        <f>F226/D226+0.01</f>
        <v>675.15026336716994</v>
      </c>
      <c r="F226" s="7">
        <f>SUM(F224:F225)</f>
        <v>1370239.0232000002</v>
      </c>
      <c r="G226" s="57"/>
      <c r="H226" s="57"/>
      <c r="I226" s="57">
        <f>SUM(I224:I225)</f>
        <v>1370239.0232000002</v>
      </c>
      <c r="J226" s="57">
        <f>SUM(J224:J225)</f>
        <v>1504109.0559</v>
      </c>
      <c r="K226" s="13">
        <f>J226/F226*100</f>
        <v>109.76983069620694</v>
      </c>
      <c r="L226" s="53"/>
      <c r="M226" s="54"/>
      <c r="N226" s="54"/>
      <c r="O226" s="51"/>
      <c r="P226" s="51"/>
      <c r="Q226" s="51"/>
      <c r="R226" s="51"/>
      <c r="S226" s="51"/>
    </row>
  </sheetData>
  <mergeCells count="22">
    <mergeCell ref="A56:A59"/>
    <mergeCell ref="B56:B59"/>
    <mergeCell ref="A131:A132"/>
    <mergeCell ref="A135:A140"/>
    <mergeCell ref="B135:B140"/>
    <mergeCell ref="B85:B86"/>
    <mergeCell ref="B87:B88"/>
    <mergeCell ref="A1:A4"/>
    <mergeCell ref="B1:B4"/>
    <mergeCell ref="C1:C4"/>
    <mergeCell ref="M3:N3"/>
    <mergeCell ref="O3:S3"/>
    <mergeCell ref="L2:L4"/>
    <mergeCell ref="D1:K1"/>
    <mergeCell ref="L1:S1"/>
    <mergeCell ref="D2:D4"/>
    <mergeCell ref="E2:F2"/>
    <mergeCell ref="G2:K2"/>
    <mergeCell ref="M2:N2"/>
    <mergeCell ref="O2:S2"/>
    <mergeCell ref="E3:F3"/>
    <mergeCell ref="G3:K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тарифы 2026</vt:lpstr>
      <vt:lpstr>на 18.06.2025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2026-07-01T13:24:58Z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1.0</vt:lpwstr>
  </property>
  <property fmtid="{D5CDD505-2E9C-101B-9397-08002B2CF9AE}" pid="3" name="CurrentVersion">
    <vt:lpwstr>1.0</vt:lpwstr>
  </property>
</Properties>
</file>